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Meu Drive\ISG\Rateio\Rateio\Rateio 2025 HDT e CS e Unidades\2025\"/>
    </mc:Choice>
  </mc:AlternateContent>
  <xr:revisionPtr revIDLastSave="0" documentId="13_ncr:1_{754E0021-0EF4-4E5D-BBC6-3E7AA36A19C7}" xr6:coauthVersionLast="36" xr6:coauthVersionMax="36" xr10:uidLastSave="{00000000-0000-0000-0000-000000000000}"/>
  <bookViews>
    <workbookView xWindow="0" yWindow="660" windowWidth="20730" windowHeight="11100" tabRatio="500" firstSheet="3" activeTab="3" xr2:uid="{00000000-000D-0000-FFFF-FFFF00000000}"/>
  </bookViews>
  <sheets>
    <sheet name="Rateio_RH" sheetId="1" state="hidden" r:id="rId1"/>
    <sheet name="Rateio_RH - 2018" sheetId="7" state="hidden" r:id="rId2"/>
    <sheet name="Rateio_RH - 2020 sem" sheetId="6" state="hidden" r:id="rId3"/>
    <sheet name="Rateio_RH - 2025 1" sheetId="8" r:id="rId4"/>
    <sheet name="Serv prestados " sheetId="9" r:id="rId5"/>
    <sheet name="Rateio_RH - 2024" sheetId="10" state="hidden" r:id="rId6"/>
    <sheet name="Estrutura" sheetId="2" r:id="rId7"/>
    <sheet name="Rateio_RH RPA" sheetId="5" state="hidden" r:id="rId8"/>
    <sheet name="Plan1" sheetId="3" state="hidden" r:id="rId9"/>
    <sheet name="Rateio_RH (2)" sheetId="4" state="hidden" r:id="rId10"/>
  </sheets>
  <definedNames>
    <definedName name="_xlnm.Print_Area" localSheetId="6">Estrutura!$A$1:$B$34</definedName>
    <definedName name="_xlnm.Print_Area" localSheetId="5">'Rateio_RH - 2024'!$A$1:$E$32</definedName>
    <definedName name="_xlnm.Print_Area" localSheetId="3">'Rateio_RH - 2025 1'!$A$1:$E$32</definedName>
    <definedName name="_xlnm.Print_Area" localSheetId="4">'Serv prestados '!$A$1:$F$30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9" l="1"/>
  <c r="E24" i="9" l="1"/>
  <c r="D22" i="8"/>
  <c r="B8" i="8" l="1"/>
  <c r="C4" i="10" l="1"/>
  <c r="C6" i="10" s="1"/>
  <c r="C16" i="10"/>
  <c r="C15" i="10" s="1"/>
  <c r="C14" i="10"/>
  <c r="C13" i="10" s="1"/>
  <c r="C12" i="10"/>
  <c r="C11" i="10" s="1"/>
  <c r="C10" i="10"/>
  <c r="C9" i="10" s="1"/>
  <c r="C17" i="10"/>
  <c r="C18" i="10" s="1"/>
  <c r="C16" i="8"/>
  <c r="C14" i="8"/>
  <c r="C12" i="8"/>
  <c r="C4" i="8"/>
  <c r="C19" i="10" l="1"/>
  <c r="C20" i="10" s="1"/>
  <c r="C6" i="8"/>
  <c r="C10" i="8" l="1"/>
  <c r="C9" i="8" s="1"/>
  <c r="B4" i="2" l="1"/>
  <c r="C11" i="8" l="1"/>
  <c r="C17" i="8" l="1"/>
  <c r="D23" i="8" l="1"/>
  <c r="D24" i="8"/>
  <c r="D25" i="8"/>
  <c r="D26" i="8"/>
  <c r="D27" i="8"/>
  <c r="D28" i="8"/>
  <c r="D28" i="10" l="1"/>
  <c r="D27" i="10"/>
  <c r="D26" i="10"/>
  <c r="D25" i="10"/>
  <c r="D24" i="10"/>
  <c r="D23" i="10"/>
  <c r="D22" i="10"/>
  <c r="E26" i="10" l="1"/>
  <c r="E23" i="10"/>
  <c r="E24" i="10"/>
  <c r="E28" i="10"/>
  <c r="E25" i="10"/>
  <c r="E22" i="10"/>
  <c r="E27" i="10"/>
  <c r="C13" i="8" l="1"/>
  <c r="C18" i="8" l="1"/>
  <c r="C15" i="8" l="1"/>
  <c r="C19" i="8" l="1"/>
  <c r="C17" i="6" l="1"/>
  <c r="C14" i="6"/>
  <c r="C13" i="6"/>
  <c r="C12" i="6"/>
  <c r="C11" i="6"/>
  <c r="D27" i="6"/>
  <c r="D26" i="6"/>
  <c r="D25" i="6"/>
  <c r="D24" i="6"/>
  <c r="D23" i="6"/>
  <c r="D22" i="6"/>
  <c r="D21" i="6"/>
  <c r="E28" i="8" l="1"/>
  <c r="G28" i="10" s="1"/>
  <c r="E27" i="8"/>
  <c r="G27" i="10" s="1"/>
  <c r="E25" i="8"/>
  <c r="G25" i="10" s="1"/>
  <c r="E24" i="8"/>
  <c r="G24" i="10" s="1"/>
  <c r="E26" i="8"/>
  <c r="G26" i="10" s="1"/>
  <c r="E23" i="8"/>
  <c r="G23" i="10" s="1"/>
  <c r="E22" i="8"/>
  <c r="G22" i="10" s="1"/>
  <c r="C20" i="8"/>
  <c r="C18" i="6"/>
  <c r="C6" i="6"/>
  <c r="C8" i="6" s="1"/>
  <c r="E25" i="6" l="1"/>
  <c r="E27" i="6"/>
  <c r="E22" i="6"/>
  <c r="E21" i="6"/>
  <c r="E26" i="6"/>
  <c r="E24" i="6"/>
  <c r="E23" i="6"/>
  <c r="C3" i="7"/>
  <c r="C16" i="7" l="1"/>
  <c r="C12" i="7"/>
  <c r="C11" i="7"/>
  <c r="C4" i="7"/>
  <c r="C17" i="7" l="1"/>
  <c r="C18" i="7" l="1"/>
  <c r="C6" i="7" l="1"/>
  <c r="C8" i="7" s="1"/>
  <c r="C19" i="7" s="1"/>
  <c r="C3" i="1" l="1"/>
  <c r="C5" i="1"/>
  <c r="C13" i="1"/>
  <c r="C16" i="1"/>
  <c r="C12" i="1"/>
  <c r="C11" i="1"/>
  <c r="D21" i="7"/>
  <c r="E21" i="7" s="1"/>
  <c r="C6" i="1"/>
  <c r="D22" i="1"/>
  <c r="D21" i="1"/>
  <c r="D25" i="7"/>
  <c r="E25" i="7" s="1"/>
  <c r="D24" i="7"/>
  <c r="E24" i="7" s="1"/>
  <c r="D23" i="7"/>
  <c r="E23" i="7" s="1"/>
  <c r="D22" i="7"/>
  <c r="E22" i="7" s="1"/>
  <c r="C17" i="1"/>
  <c r="C4" i="5"/>
  <c r="C9" i="5" s="1"/>
  <c r="C3" i="5"/>
  <c r="C7" i="5"/>
  <c r="C12" i="5"/>
  <c r="C13" i="5"/>
  <c r="C17" i="5"/>
  <c r="C18" i="5"/>
  <c r="D24" i="5"/>
  <c r="D23" i="5"/>
  <c r="D22" i="5"/>
  <c r="D23" i="1"/>
  <c r="F9" i="2"/>
  <c r="C13" i="4"/>
  <c r="C12" i="4"/>
  <c r="C11" i="4"/>
  <c r="C16" i="4" s="1"/>
  <c r="D21" i="4"/>
  <c r="D20" i="4"/>
  <c r="D19" i="4"/>
  <c r="C6" i="4"/>
  <c r="B20" i="2"/>
  <c r="B10" i="2"/>
  <c r="B25" i="2"/>
  <c r="C19" i="5" l="1"/>
  <c r="C18" i="1"/>
  <c r="C8" i="1"/>
  <c r="C17" i="4"/>
  <c r="E21" i="4"/>
  <c r="E19" i="4"/>
  <c r="E20" i="4"/>
  <c r="E22" i="5"/>
  <c r="E24" i="5"/>
  <c r="C20" i="5"/>
  <c r="E23" i="5" s="1"/>
  <c r="E22" i="1"/>
  <c r="E21" i="1"/>
  <c r="E23" i="1"/>
  <c r="B27" i="2"/>
  <c r="C19" i="6"/>
  <c r="C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1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1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  <author>Carlos Eduardo</author>
  </authors>
  <commentList>
    <comment ref="C3" authorId="0" shapeId="0" xr:uid="{00000000-0006-0000-02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2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  <comment ref="G27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Carlos Eduardo:</t>
        </r>
        <r>
          <rPr>
            <sz val="9"/>
            <color indexed="81"/>
            <rFont val="Tahoma"/>
            <family val="2"/>
          </rPr>
          <t xml:space="preserve">
REDUÇÃO DO RATEIO MEDIO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3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00000000-0006-0000-03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84A70C65-CB0D-4C51-852E-43D7D9BAE775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D220776C-0C0B-4B74-B49F-CAA41B4B140A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7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7" authorId="0" shapeId="0" xr:uid="{00000000-0006-0000-07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9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9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sharedStrings.xml><?xml version="1.0" encoding="utf-8"?>
<sst xmlns="http://schemas.openxmlformats.org/spreadsheetml/2006/main" count="322" uniqueCount="138">
  <si>
    <t>FGTS</t>
  </si>
  <si>
    <t>INSS</t>
  </si>
  <si>
    <t>SALÁRIO BRUTO</t>
  </si>
  <si>
    <t>TOTAL</t>
  </si>
  <si>
    <t>No. DE FUNCIONÁRIOS EM FOLHA</t>
  </si>
  <si>
    <t>HOSPITAL DE DOENÇAS TROPICAIS - GO</t>
  </si>
  <si>
    <t>HOSPITAL ESTADUAL ROBERTO CHABO - RJ</t>
  </si>
  <si>
    <t>RATEIO</t>
  </si>
  <si>
    <t>VALOR DESTINADO</t>
  </si>
  <si>
    <t>SUPERINTENDENTE TÉCNICO-CIENTÍFICO       (NF PESSOA JURÍDICA)</t>
  </si>
  <si>
    <t>LUZ</t>
  </si>
  <si>
    <t>TELEFONE FIXO</t>
  </si>
  <si>
    <t>INTERNET</t>
  </si>
  <si>
    <t>HOSPEDAGEM WEBSITE</t>
  </si>
  <si>
    <t>HOSPITAL ESTADUAL AZEVEDO LIMA - RJ</t>
  </si>
  <si>
    <t>VALE TRANSPORTE</t>
  </si>
  <si>
    <t>TICKET REFEIÇÃO</t>
  </si>
  <si>
    <t>ALUGUEL SEDE RJ</t>
  </si>
  <si>
    <t>RAT</t>
  </si>
  <si>
    <t>DESCRIÇÃO/GRUPO/FOLHA</t>
  </si>
  <si>
    <t>OUTRAS ENTIDADES</t>
  </si>
  <si>
    <t>PIS</t>
  </si>
  <si>
    <t>TOTAL GRUPO B (PROVISÕES)</t>
  </si>
  <si>
    <t>TOTAL GRUPO A (ENCARGOS)</t>
  </si>
  <si>
    <t>LICENÇA PATERNIDADE</t>
  </si>
  <si>
    <t>LICENÇA FUNERAL</t>
  </si>
  <si>
    <t>LICENÇA CASAMENTO</t>
  </si>
  <si>
    <t>13 SALARIO</t>
  </si>
  <si>
    <t>FÉRIAS</t>
  </si>
  <si>
    <t>AUXILIO DOENÇA</t>
  </si>
  <si>
    <t>FALTAS LEGAIS</t>
  </si>
  <si>
    <t>ACIDENTE DE TRABALHO</t>
  </si>
  <si>
    <t>TOTAL GRUPO C (PROVISÕES)</t>
  </si>
  <si>
    <t>AVISO PRÉVIO INDENIZADO</t>
  </si>
  <si>
    <t>AVISO PRÉVIO TRABALHADO</t>
  </si>
  <si>
    <t>FGTS RESCISÕES SEM JUSTA CAUSA</t>
  </si>
  <si>
    <t>INDENIZAÇÃO ADICIONAL</t>
  </si>
  <si>
    <t>TOTAL GRUPO D (incidência A s/ B)</t>
  </si>
  <si>
    <t>RESERVA TECNICA (PROVISÕES)</t>
  </si>
  <si>
    <t>TOTAL ENCARGOS</t>
  </si>
  <si>
    <t>%</t>
  </si>
  <si>
    <t>ESTRUTURA DE ENCARGOS SOCIAIS E TRABALHISTAS FOLHA</t>
  </si>
  <si>
    <t>ABONO FÉRIAS (1/3 s/ FÉRIAS)</t>
  </si>
  <si>
    <t>TOTAL GERAL</t>
  </si>
  <si>
    <t>TAXA DE ENCARGOS SOCIAIS E TRABALHISTAS (71,96%)</t>
  </si>
  <si>
    <t>Isg - Instituto Socrates Guanaes</t>
  </si>
  <si>
    <t>Gerente Financeiro</t>
  </si>
  <si>
    <t>Paulo Ismerio</t>
  </si>
  <si>
    <t>CUSTOS RH CORPORATIVO - JUNHO DE 2015</t>
  </si>
  <si>
    <t>CUSTOS ADMINISTRATIVOS SEDE RJ - Junho DE 2015</t>
  </si>
  <si>
    <t>DESPESAS ESTADIA E HOSPEDAGEM E TAXI</t>
  </si>
  <si>
    <t>LUZ e AGUA</t>
  </si>
  <si>
    <t>SERV PRESTADOR CONTABILIDADE E FOLHA ARQUIVO E ADV e LIMPEZA</t>
  </si>
  <si>
    <t>Protestos</t>
  </si>
  <si>
    <t>Fornecedor</t>
  </si>
  <si>
    <t>Air liquide</t>
  </si>
  <si>
    <t>Total</t>
  </si>
  <si>
    <t>Projeto onde protestado</t>
  </si>
  <si>
    <t>Valor</t>
  </si>
  <si>
    <t>Situação</t>
  </si>
  <si>
    <t>HDT</t>
  </si>
  <si>
    <t>Pago em processo de baixa</t>
  </si>
  <si>
    <t>a identificar unidade</t>
  </si>
  <si>
    <t>ALUGUEL SEDE</t>
  </si>
  <si>
    <t xml:space="preserve">Falta </t>
  </si>
  <si>
    <t>CONDOMINIO SOLIDARIEDADE - GO</t>
  </si>
  <si>
    <t>João Carlos Sampaio</t>
  </si>
  <si>
    <t>Superintendente Executivo</t>
  </si>
  <si>
    <t>RPA</t>
  </si>
  <si>
    <t>Recebido dia 12/01</t>
  </si>
  <si>
    <t>CUSTOS PARA RATEIO CORPORATIVO - JANEIRO 2018</t>
  </si>
  <si>
    <t>HOSPITAL REGIONAL JORGE ROSSMANN</t>
  </si>
  <si>
    <t>HOSPITAL SÃO JOSE DOS CAMPOS</t>
  </si>
  <si>
    <t>CUSTOS PARA RATEIO CORPORATIVO - MARÇO 2018</t>
  </si>
  <si>
    <t>Diretor Executivo</t>
  </si>
  <si>
    <t>CUSTOS PARA RATEIO CORPORATIVO - DEZEMBRO 2018</t>
  </si>
  <si>
    <t>HOSPITAL REGIONAL DE REGISTRO</t>
  </si>
  <si>
    <t>AME</t>
  </si>
  <si>
    <t>Recebido 16-01</t>
  </si>
  <si>
    <t>Diretor Financeiro</t>
  </si>
  <si>
    <t>Terencio Sant'Ana Costa</t>
  </si>
  <si>
    <t>CUSTOS PARA RATEIO CORPORATIVO -SETEMBRO 2020</t>
  </si>
  <si>
    <t>HOSPITAL LITORAL NORTE</t>
  </si>
  <si>
    <t>AME PARIQUERAÇU</t>
  </si>
  <si>
    <t>FORNECEDOR</t>
  </si>
  <si>
    <t>NF</t>
  </si>
  <si>
    <t xml:space="preserve">DESCRIÇÃO </t>
  </si>
  <si>
    <t>SUBCONTA</t>
  </si>
  <si>
    <t>VALOR</t>
  </si>
  <si>
    <t>VENCIMENTO</t>
  </si>
  <si>
    <t>Despesas Administrativas</t>
  </si>
  <si>
    <t>Aluguel Sede Salvador - Jose Ferreira</t>
  </si>
  <si>
    <t xml:space="preserve">Coelba Salas Salvador </t>
  </si>
  <si>
    <t xml:space="preserve">Secure Serviçe Grupo SST - Telefonia e Infraestrutura </t>
  </si>
  <si>
    <t>Locaweb - Serv de Hospedagem website dominio ISG</t>
  </si>
  <si>
    <t>Arquivo Anexo</t>
  </si>
  <si>
    <t>VS DATA</t>
  </si>
  <si>
    <t>SERV PRESTADOS</t>
  </si>
  <si>
    <t>Contrato Assessoria do Complince Prevenção e correção</t>
  </si>
  <si>
    <t>Quality Assessoria Consutoria e Gestao</t>
  </si>
  <si>
    <t>Serv de Assessoria de Saude em projeto</t>
  </si>
  <si>
    <t>ALTBIT INFORMATICA COMERCIO E SERVICOS LTDA</t>
  </si>
  <si>
    <t xml:space="preserve">Lavoro Sano </t>
  </si>
  <si>
    <t>Segurança e Medician do Trabalho</t>
  </si>
  <si>
    <t>Despesas com Pessoal</t>
  </si>
  <si>
    <t>Coelba - sala nova - Coronel almerindo 1</t>
  </si>
  <si>
    <t xml:space="preserve">Energia Eletrica Salvador </t>
  </si>
  <si>
    <t>ISG - SEDE</t>
  </si>
  <si>
    <t>Aluguel Salvador sala - sala nova - Jose Ferreira</t>
  </si>
  <si>
    <t>Locaweb</t>
  </si>
  <si>
    <t>Provedor Caixa de Email</t>
  </si>
  <si>
    <t xml:space="preserve">Total pago </t>
  </si>
  <si>
    <t>v</t>
  </si>
  <si>
    <t>ICTS Global do Brasil</t>
  </si>
  <si>
    <t>serv de Consultoria em Comunicação</t>
  </si>
  <si>
    <t>Ernesto Stangueti</t>
  </si>
  <si>
    <t>ADVCOM</t>
  </si>
  <si>
    <t>Secure Service (caroline Gomes)</t>
  </si>
  <si>
    <t>Telefonia Salvador SSTI</t>
  </si>
  <si>
    <t xml:space="preserve">VALOR CONTRATO DE GESTÃO </t>
  </si>
  <si>
    <t>LOCAÇÃO DE EQUIPAMENTOS – NOTEBOOKS/TVS</t>
  </si>
  <si>
    <t>Capital Humano</t>
  </si>
  <si>
    <t>Serv. Esp. Pessoa Jurídica RH/DP</t>
  </si>
  <si>
    <t>Clipping Service</t>
  </si>
  <si>
    <t>Assessoria Comunicação</t>
  </si>
  <si>
    <t>WALTER ANDRADE NETO 01787085503</t>
  </si>
  <si>
    <t>PRESTAÇÃO DE SERVIÇO DE CONSULTORIA DE GESTÃO ERP SOULMV</t>
  </si>
  <si>
    <t>TAXA DE ENCARGOS SOCIAIS E TRABALHISTAS (37,05%)</t>
  </si>
  <si>
    <t>Oficina da Imagem</t>
  </si>
  <si>
    <t xml:space="preserve">Serviços de Assessoria Comunicação </t>
  </si>
  <si>
    <t>VANESSA OLIVEIRA SENA</t>
  </si>
  <si>
    <t xml:space="preserve">Elaboração de Material Tecnico </t>
  </si>
  <si>
    <t>CUSTOS PARA RATEIO CORPORATIVO -ABRIL 2025</t>
  </si>
  <si>
    <t>CUSTOS PARA RATEIO CORPORATIVO -JUNHO 2025</t>
  </si>
  <si>
    <t>826</t>
  </si>
  <si>
    <t>9-12.</t>
  </si>
  <si>
    <t>Sotware oracle  - 4851</t>
  </si>
  <si>
    <t>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</si>
</sst>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R$&quot;\ #,##0;[Red]\-&quot;R$&quot;\ #,##0"/>
    <numFmt numFmtId="8" formatCode="&quot;R$&quot;\ #,##0.00;[Red]\-&quot;R$&quot;\ #,##0.00"/>
    <numFmt numFmtId="164" formatCode="&quot;R$&quot;#,##0.00_);[Red]\(&quot;R$&quot;#,##0.00\)"/>
    <numFmt numFmtId="165" formatCode="_(&quot;R$&quot;* #,##0.00_);_(&quot;R$&quot;* \(#,##0.00\);_(&quot;R$&quot;* &quot;-&quot;??_);_(@_)"/>
    <numFmt numFmtId="166" formatCode="_-* #,##0.00_-;\-* #,##0.00_-;_-* &quot;-&quot;??_-;_-@"/>
    <numFmt numFmtId="167" formatCode="dd/mm/yy"/>
  </numFmts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sz val="12"/>
      <color rgb="FF000000"/>
      <name val="Calibri"/>
      <family val="2"/>
      <charset val="136"/>
      <scheme val="minor"/>
    </font>
    <font>
      <b/>
      <sz val="9"/>
      <color indexed="81"/>
      <name val="Calibri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Book Antiqua"/>
      <family val="1"/>
    </font>
    <font>
      <sz val="9"/>
      <color rgb="FF000000"/>
      <name val="Book Antiqua"/>
      <family val="1"/>
    </font>
    <font>
      <b/>
      <sz val="12"/>
      <color rgb="FF000000"/>
      <name val="Book Antiqua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Book Antiqua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 tint="-0.499984740745262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9" fontId="3" fillId="0" borderId="0" xfId="2" applyFont="1" applyAlignment="1">
      <alignment horizontal="left" indent="1"/>
    </xf>
    <xf numFmtId="9" fontId="0" fillId="0" borderId="0" xfId="2" applyFont="1" applyAlignment="1">
      <alignment horizontal="left" indent="1"/>
    </xf>
    <xf numFmtId="164" fontId="3" fillId="0" borderId="0" xfId="1" applyNumberFormat="1" applyFont="1"/>
    <xf numFmtId="164" fontId="0" fillId="0" borderId="0" xfId="1" applyNumberFormat="1" applyFont="1"/>
    <xf numFmtId="0" fontId="4" fillId="0" borderId="1" xfId="0" applyFont="1" applyBorder="1"/>
    <xf numFmtId="164" fontId="3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9" fontId="2" fillId="0" borderId="1" xfId="2" applyFont="1" applyBorder="1" applyAlignment="1">
      <alignment horizontal="left" indent="1"/>
    </xf>
    <xf numFmtId="164" fontId="2" fillId="0" borderId="1" xfId="1" applyNumberFormat="1" applyFont="1" applyBorder="1" applyAlignment="1">
      <alignment horizontal="center"/>
    </xf>
    <xf numFmtId="9" fontId="0" fillId="0" borderId="0" xfId="2" applyNumberFormat="1" applyFont="1" applyAlignment="1">
      <alignment horizontal="left" indent="1"/>
    </xf>
    <xf numFmtId="164" fontId="7" fillId="0" borderId="0" xfId="0" applyNumberFormat="1" applyFont="1"/>
    <xf numFmtId="10" fontId="0" fillId="0" borderId="0" xfId="2" applyNumberFormat="1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protection locked="0"/>
    </xf>
    <xf numFmtId="0" fontId="0" fillId="0" borderId="2" xfId="0" applyBorder="1"/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2" fillId="0" borderId="2" xfId="0" applyFont="1" applyBorder="1" applyAlignment="1"/>
    <xf numFmtId="0" fontId="2" fillId="0" borderId="2" xfId="0" applyFont="1" applyBorder="1"/>
    <xf numFmtId="10" fontId="0" fillId="0" borderId="2" xfId="0" applyNumberFormat="1" applyBorder="1" applyAlignment="1"/>
    <xf numFmtId="10" fontId="0" fillId="0" borderId="2" xfId="0" applyNumberFormat="1" applyBorder="1"/>
    <xf numFmtId="10" fontId="2" fillId="0" borderId="2" xfId="0" applyNumberFormat="1" applyFont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10" fontId="2" fillId="2" borderId="2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/>
    <xf numFmtId="10" fontId="2" fillId="2" borderId="2" xfId="0" applyNumberFormat="1" applyFont="1" applyFill="1" applyBorder="1" applyAlignment="1"/>
    <xf numFmtId="0" fontId="2" fillId="2" borderId="2" xfId="0" applyFont="1" applyFill="1" applyBorder="1"/>
    <xf numFmtId="10" fontId="2" fillId="2" borderId="2" xfId="0" applyNumberFormat="1" applyFont="1" applyFill="1" applyBorder="1"/>
    <xf numFmtId="0" fontId="0" fillId="0" borderId="0" xfId="0" applyAlignment="1">
      <alignment horizontal="center"/>
    </xf>
    <xf numFmtId="164" fontId="7" fillId="3" borderId="0" xfId="0" applyNumberFormat="1" applyFont="1" applyFill="1"/>
    <xf numFmtId="0" fontId="2" fillId="3" borderId="0" xfId="0" applyFont="1" applyFill="1"/>
    <xf numFmtId="10" fontId="2" fillId="3" borderId="0" xfId="2" applyNumberFormat="1" applyFont="1" applyFill="1" applyAlignment="1">
      <alignment horizontal="center"/>
    </xf>
    <xf numFmtId="164" fontId="9" fillId="3" borderId="0" xfId="1" applyNumberFormat="1" applyFont="1" applyFill="1"/>
    <xf numFmtId="164" fontId="0" fillId="3" borderId="0" xfId="0" applyNumberFormat="1" applyFill="1"/>
    <xf numFmtId="0" fontId="0" fillId="4" borderId="0" xfId="0" applyNumberFormat="1" applyFill="1"/>
    <xf numFmtId="0" fontId="2" fillId="4" borderId="0" xfId="0" applyNumberFormat="1" applyFont="1" applyFill="1"/>
    <xf numFmtId="9" fontId="0" fillId="3" borderId="0" xfId="2" applyFont="1" applyFill="1" applyAlignment="1">
      <alignment horizontal="left" indent="1"/>
    </xf>
    <xf numFmtId="0" fontId="0" fillId="3" borderId="0" xfId="0" applyFill="1"/>
    <xf numFmtId="0" fontId="0" fillId="3" borderId="1" xfId="0" applyFill="1" applyBorder="1" applyAlignment="1">
      <alignment wrapText="1"/>
    </xf>
    <xf numFmtId="0" fontId="2" fillId="0" borderId="2" xfId="0" applyFont="1" applyBorder="1" applyAlignment="1">
      <alignment horizontal="center"/>
    </xf>
    <xf numFmtId="165" fontId="0" fillId="0" borderId="2" xfId="1" applyFont="1" applyBorder="1" applyAlignment="1"/>
    <xf numFmtId="165" fontId="0" fillId="0" borderId="0" xfId="1" applyFont="1"/>
    <xf numFmtId="165" fontId="2" fillId="0" borderId="2" xfId="1" applyFont="1" applyBorder="1" applyAlignment="1"/>
    <xf numFmtId="164" fontId="0" fillId="4" borderId="0" xfId="0" applyNumberFormat="1" applyFill="1"/>
    <xf numFmtId="0" fontId="0" fillId="0" borderId="0" xfId="0" applyFont="1"/>
    <xf numFmtId="10" fontId="1" fillId="0" borderId="0" xfId="2" applyNumberFormat="1" applyFont="1" applyAlignment="1">
      <alignment horizontal="center"/>
    </xf>
    <xf numFmtId="164" fontId="1" fillId="0" borderId="0" xfId="1" applyNumberFormat="1" applyFont="1"/>
    <xf numFmtId="10" fontId="2" fillId="0" borderId="0" xfId="2" applyNumberFormat="1" applyFont="1" applyAlignment="1">
      <alignment horizontal="center"/>
    </xf>
    <xf numFmtId="0" fontId="0" fillId="3" borderId="0" xfId="0" applyNumberFormat="1" applyFont="1" applyFill="1"/>
    <xf numFmtId="16" fontId="0" fillId="0" borderId="0" xfId="0" applyNumberFormat="1"/>
    <xf numFmtId="6" fontId="0" fillId="0" borderId="0" xfId="0" applyNumberFormat="1"/>
    <xf numFmtId="164" fontId="2" fillId="0" borderId="0" xfId="1" applyNumberFormat="1" applyFont="1"/>
    <xf numFmtId="0" fontId="2" fillId="4" borderId="0" xfId="0" applyFont="1" applyFill="1"/>
    <xf numFmtId="10" fontId="1" fillId="3" borderId="0" xfId="2" applyNumberFormat="1" applyFont="1" applyFill="1" applyAlignment="1">
      <alignment horizontal="center"/>
    </xf>
    <xf numFmtId="164" fontId="1" fillId="3" borderId="0" xfId="1" applyNumberFormat="1" applyFont="1" applyFill="1"/>
    <xf numFmtId="0" fontId="0" fillId="3" borderId="0" xfId="0" applyFont="1" applyFill="1"/>
    <xf numFmtId="10" fontId="2" fillId="4" borderId="0" xfId="2" applyNumberFormat="1" applyFont="1" applyFill="1" applyAlignment="1">
      <alignment horizontal="center"/>
    </xf>
    <xf numFmtId="164" fontId="9" fillId="4" borderId="0" xfId="1" applyNumberFormat="1" applyFont="1" applyFill="1"/>
    <xf numFmtId="164" fontId="2" fillId="3" borderId="0" xfId="0" applyNumberFormat="1" applyFont="1" applyFill="1"/>
    <xf numFmtId="164" fontId="2" fillId="4" borderId="0" xfId="1" applyNumberFormat="1" applyFont="1" applyFill="1"/>
    <xf numFmtId="0" fontId="12" fillId="5" borderId="0" xfId="0" applyFont="1" applyFill="1" applyBorder="1" applyAlignment="1">
      <alignment horizontal="center"/>
    </xf>
    <xf numFmtId="166" fontId="12" fillId="5" borderId="0" xfId="0" applyNumberFormat="1" applyFont="1" applyFill="1" applyBorder="1" applyAlignment="1">
      <alignment horizontal="center"/>
    </xf>
    <xf numFmtId="0" fontId="13" fillId="6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167" fontId="13" fillId="3" borderId="0" xfId="0" applyNumberFormat="1" applyFont="1" applyFill="1" applyBorder="1" applyAlignment="1">
      <alignment horizontal="center"/>
    </xf>
    <xf numFmtId="49" fontId="13" fillId="3" borderId="0" xfId="0" applyNumberFormat="1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164" fontId="7" fillId="9" borderId="0" xfId="0" applyNumberFormat="1" applyFont="1" applyFill="1"/>
    <xf numFmtId="0" fontId="15" fillId="0" borderId="0" xfId="0" applyFont="1"/>
    <xf numFmtId="164" fontId="16" fillId="3" borderId="0" xfId="0" applyNumberFormat="1" applyFont="1" applyFill="1"/>
    <xf numFmtId="0" fontId="13" fillId="3" borderId="0" xfId="0" applyFont="1" applyFill="1" applyBorder="1" applyAlignment="1">
      <alignment horizontal="center"/>
    </xf>
    <xf numFmtId="166" fontId="13" fillId="6" borderId="0" xfId="0" applyNumberFormat="1" applyFont="1" applyFill="1" applyBorder="1" applyAlignment="1">
      <alignment horizontal="center"/>
    </xf>
    <xf numFmtId="166" fontId="13" fillId="10" borderId="0" xfId="0" applyNumberFormat="1" applyFont="1" applyFill="1" applyBorder="1" applyAlignment="1">
      <alignment horizontal="center"/>
    </xf>
    <xf numFmtId="166" fontId="14" fillId="11" borderId="0" xfId="0" applyNumberFormat="1" applyFont="1" applyFill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165" fontId="2" fillId="4" borderId="0" xfId="1" applyFont="1" applyFill="1"/>
    <xf numFmtId="165" fontId="0" fillId="3" borderId="0" xfId="1" applyFont="1" applyFill="1"/>
    <xf numFmtId="8" fontId="0" fillId="0" borderId="0" xfId="0" applyNumberFormat="1"/>
    <xf numFmtId="0" fontId="3" fillId="0" borderId="1" xfId="0" applyFont="1" applyBorder="1"/>
    <xf numFmtId="166" fontId="13" fillId="3" borderId="0" xfId="0" applyNumberFormat="1" applyFont="1" applyFill="1" applyBorder="1" applyAlignment="1">
      <alignment horizontal="center"/>
    </xf>
    <xf numFmtId="0" fontId="17" fillId="3" borderId="0" xfId="0" applyFont="1" applyFill="1" applyBorder="1" applyAlignment="1">
      <alignment horizontal="left"/>
    </xf>
    <xf numFmtId="1" fontId="13" fillId="3" borderId="0" xfId="0" applyNumberFormat="1" applyFont="1" applyFill="1" applyBorder="1" applyAlignment="1">
      <alignment horizontal="center"/>
    </xf>
    <xf numFmtId="1" fontId="13" fillId="6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4" fillId="8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9">
    <cellStyle name="Hiperlink" xfId="3" builtinId="8" hidden="1"/>
    <cellStyle name="Hiperlink" xfId="5" builtinId="8" hidden="1"/>
    <cellStyle name="Hiperlink" xfId="7" builtinId="8" hidden="1"/>
    <cellStyle name="Hiperlink Visitado" xfId="4" builtinId="9" hidden="1"/>
    <cellStyle name="Hiperlink Visitado" xfId="6" builtinId="9" hidden="1"/>
    <cellStyle name="Hiperlink Visitado" xfId="8" builtinId="9" hidden="1"/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9"/>
  <sheetViews>
    <sheetView showGridLines="0" topLeftCell="A6" zoomScale="150" zoomScaleNormal="150" zoomScalePageLayoutView="150" workbookViewId="0">
      <selection activeCell="C3" sqref="C3:C19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73</v>
      </c>
      <c r="C2" s="10"/>
      <c r="D2" s="5"/>
      <c r="E2" s="7"/>
    </row>
    <row r="3" spans="2:5" ht="18.75">
      <c r="B3" t="s">
        <v>2</v>
      </c>
      <c r="C3" s="50">
        <f>26842.61+230249.44</f>
        <v>257092.05</v>
      </c>
      <c r="E3" s="7"/>
    </row>
    <row r="4" spans="2:5" ht="18.75">
      <c r="B4" t="s">
        <v>15</v>
      </c>
      <c r="C4" s="40">
        <v>1387.75</v>
      </c>
      <c r="D4" s="43"/>
      <c r="E4" s="7"/>
    </row>
    <row r="5" spans="2:5" ht="18.75">
      <c r="B5" t="s">
        <v>16</v>
      </c>
      <c r="C5" s="40">
        <f>16733.18</f>
        <v>16733.18</v>
      </c>
      <c r="D5" s="43"/>
      <c r="E5" s="7"/>
    </row>
    <row r="6" spans="2:5" ht="18.75">
      <c r="B6" t="s">
        <v>44</v>
      </c>
      <c r="C6" s="1">
        <f>C3*71.96%</f>
        <v>185003.43917999996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460216.41917999997</v>
      </c>
      <c r="E8" s="7"/>
    </row>
    <row r="9" spans="2:5">
      <c r="B9" s="2"/>
      <c r="C9" s="3"/>
    </row>
    <row r="10" spans="2:5" s="4" customFormat="1" ht="18.75">
      <c r="B10" s="9" t="s">
        <v>73</v>
      </c>
      <c r="C10" s="10"/>
      <c r="D10" s="5"/>
      <c r="E10" s="7"/>
    </row>
    <row r="11" spans="2:5">
      <c r="B11" t="s">
        <v>63</v>
      </c>
      <c r="C11" s="36">
        <f>7492+877.44+3750.93</f>
        <v>12120.37</v>
      </c>
    </row>
    <row r="12" spans="2:5">
      <c r="B12" t="s">
        <v>51</v>
      </c>
      <c r="C12" s="36">
        <f>49.5+19.55+619.18+74.31</f>
        <v>762.54</v>
      </c>
      <c r="D12" s="43"/>
    </row>
    <row r="13" spans="2:5">
      <c r="B13" t="s">
        <v>11</v>
      </c>
      <c r="C13" s="36">
        <f>11775.01</f>
        <v>11775.01</v>
      </c>
    </row>
    <row r="14" spans="2:5">
      <c r="B14" t="s">
        <v>13</v>
      </c>
      <c r="C14" s="36">
        <v>459.21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756+9705.27+800+931.5</f>
        <v>12192.77</v>
      </c>
    </row>
    <row r="17" spans="2:7">
      <c r="B17" s="45" t="s">
        <v>12</v>
      </c>
      <c r="C17" s="36">
        <f>890+1652.43</f>
        <v>2542.4300000000003</v>
      </c>
    </row>
    <row r="18" spans="2:7">
      <c r="B18" s="2" t="s">
        <v>3</v>
      </c>
      <c r="C18" s="3">
        <f>SUM(C11:C17)</f>
        <v>39852.329999999994</v>
      </c>
    </row>
    <row r="19" spans="2:7">
      <c r="B19" s="2" t="s">
        <v>43</v>
      </c>
      <c r="C19" s="1">
        <f>C8+C18</f>
        <v>500068.74917999998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443</v>
      </c>
      <c r="D21" s="52">
        <f>C21/($C$21+$C$22+$C$23)</f>
        <v>0.257109692396982</v>
      </c>
      <c r="E21" s="53">
        <f>(C8+C18)*D21</f>
        <v>128572.52227901334</v>
      </c>
    </row>
    <row r="22" spans="2:7">
      <c r="B22" s="51" t="s">
        <v>65</v>
      </c>
      <c r="C22" s="55">
        <v>121</v>
      </c>
      <c r="D22" s="52">
        <f>C22/($C$21+$C$22+$C$23)</f>
        <v>7.0226349390597798E-2</v>
      </c>
      <c r="E22" s="53">
        <f>(C8+C18)*D22</f>
        <v>35118.002699233897</v>
      </c>
    </row>
    <row r="23" spans="2:7">
      <c r="B23" s="37" t="s">
        <v>14</v>
      </c>
      <c r="C23" s="42">
        <v>1159</v>
      </c>
      <c r="D23" s="54">
        <f>C23/($C$21+$C$22+$C$23)</f>
        <v>0.6726639582124202</v>
      </c>
      <c r="E23" s="39">
        <f>(C8+C18)*D23</f>
        <v>336378.22420175275</v>
      </c>
    </row>
    <row r="24" spans="2:7">
      <c r="C24" s="40"/>
      <c r="G24" s="57"/>
    </row>
    <row r="26" spans="2:7">
      <c r="B26" s="93" t="s">
        <v>45</v>
      </c>
      <c r="C26" s="93"/>
      <c r="D26" s="93"/>
      <c r="E26" s="93"/>
      <c r="G26" s="56"/>
    </row>
    <row r="27" spans="2:7">
      <c r="B27" s="92"/>
      <c r="C27" s="92"/>
      <c r="D27" s="92"/>
      <c r="E27" s="92"/>
    </row>
    <row r="28" spans="2:7">
      <c r="B28" s="92" t="s">
        <v>67</v>
      </c>
      <c r="C28" s="92"/>
      <c r="D28" s="92"/>
      <c r="E28" s="92"/>
    </row>
    <row r="29" spans="2:7">
      <c r="B29" s="92" t="s">
        <v>66</v>
      </c>
      <c r="C29" s="92"/>
      <c r="D29" s="92"/>
      <c r="E29" s="92"/>
    </row>
  </sheetData>
  <mergeCells count="4">
    <mergeCell ref="B27:E27"/>
    <mergeCell ref="B26:E26"/>
    <mergeCell ref="B28:E28"/>
    <mergeCell ref="B29:E29"/>
  </mergeCells>
  <hyperlinks>
    <hyperlink ref="B10" r:id="rId1" display="https://webmail-seguro.com.br/isgsaude.org/?_task=mail&amp;_mbox=INBOX" xr:uid="{00000000-0004-0000-0000-000000000000}"/>
  </hyperlinks>
  <pageMargins left="0.19685039370078741" right="0.19685039370078741" top="1.3779527559055118" bottom="0.19685039370078741" header="0.51181102362204722" footer="0.51181102362204722"/>
  <pageSetup paperSize="9" scale="78" orientation="portrait" r:id="rId2"/>
  <ignoredErrors>
    <ignoredError sqref="C8" emptyCellReference="1"/>
  </ignoredErrors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27"/>
  <sheetViews>
    <sheetView showGridLines="0" topLeftCell="A5" zoomScale="150" zoomScaleNormal="150" zoomScalePageLayoutView="150" workbookViewId="0">
      <selection activeCell="E20" sqref="E20"/>
    </sheetView>
  </sheetViews>
  <sheetFormatPr defaultColWidth="11" defaultRowHeight="15.75"/>
  <cols>
    <col min="1" max="1" width="3.625" customWidth="1"/>
    <col min="2" max="2" width="46.875" customWidth="1"/>
    <col min="3" max="3" width="16.125" style="1" customWidth="1"/>
    <col min="4" max="4" width="10" style="6" customWidth="1"/>
    <col min="5" max="5" width="15.875" style="8" customWidth="1"/>
  </cols>
  <sheetData>
    <row r="2" spans="2:5" s="4" customFormat="1" ht="18.75">
      <c r="B2" s="9" t="s">
        <v>48</v>
      </c>
      <c r="C2" s="10"/>
      <c r="D2" s="5"/>
      <c r="E2" s="7"/>
    </row>
    <row r="3" spans="2:5" ht="18.75">
      <c r="B3" t="s">
        <v>2</v>
      </c>
      <c r="C3" s="1">
        <v>65633.679999999993</v>
      </c>
      <c r="E3" s="7"/>
    </row>
    <row r="4" spans="2:5" ht="18.75">
      <c r="B4" t="s">
        <v>15</v>
      </c>
      <c r="C4" s="40">
        <v>138</v>
      </c>
      <c r="D4" s="43"/>
      <c r="E4" s="7"/>
    </row>
    <row r="5" spans="2:5" ht="18.75">
      <c r="B5" t="s">
        <v>16</v>
      </c>
      <c r="C5" s="40">
        <v>11737.5</v>
      </c>
      <c r="D5" s="43"/>
      <c r="E5" s="7"/>
    </row>
    <row r="6" spans="2:5" ht="18.75">
      <c r="B6" t="s">
        <v>44</v>
      </c>
      <c r="C6" s="1">
        <f>C3*71.96%</f>
        <v>47229.996127999992</v>
      </c>
      <c r="D6" s="15"/>
      <c r="E6" s="7"/>
    </row>
    <row r="7" spans="2:5" ht="32.2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v>0</v>
      </c>
      <c r="E8" s="7"/>
    </row>
    <row r="9" spans="2:5">
      <c r="B9" s="2"/>
      <c r="C9" s="3"/>
    </row>
    <row r="10" spans="2:5" s="4" customFormat="1" ht="18.75">
      <c r="B10" s="9" t="s">
        <v>49</v>
      </c>
      <c r="C10" s="10"/>
      <c r="D10" s="5"/>
      <c r="E10" s="7"/>
    </row>
    <row r="11" spans="2:5">
      <c r="B11" t="s">
        <v>17</v>
      </c>
      <c r="C11" s="16">
        <f>4473.26+1025</f>
        <v>5498.26</v>
      </c>
    </row>
    <row r="12" spans="2:5">
      <c r="B12" t="s">
        <v>10</v>
      </c>
      <c r="C12" s="16">
        <f>109.08+20.13+133.11</f>
        <v>262.32000000000005</v>
      </c>
      <c r="D12" s="43"/>
    </row>
    <row r="13" spans="2:5">
      <c r="B13" t="s">
        <v>11</v>
      </c>
      <c r="C13" s="16">
        <f>2050+431.66+999.87</f>
        <v>3481.5299999999997</v>
      </c>
    </row>
    <row r="14" spans="2:5">
      <c r="B14" t="s">
        <v>13</v>
      </c>
      <c r="C14" s="36">
        <v>0</v>
      </c>
    </row>
    <row r="15" spans="2:5">
      <c r="B15" s="11" t="s">
        <v>12</v>
      </c>
      <c r="C15" s="16">
        <v>1423.31</v>
      </c>
    </row>
    <row r="16" spans="2:5">
      <c r="B16" s="2" t="s">
        <v>3</v>
      </c>
      <c r="C16" s="3">
        <f>SUM(C11:C15)</f>
        <v>10665.42</v>
      </c>
    </row>
    <row r="17" spans="2:5">
      <c r="B17" s="2" t="s">
        <v>43</v>
      </c>
      <c r="C17" s="1">
        <f>C8+C16</f>
        <v>10665.42</v>
      </c>
    </row>
    <row r="18" spans="2:5" ht="18.75">
      <c r="B18" s="9" t="s">
        <v>4</v>
      </c>
      <c r="C18" s="12"/>
      <c r="D18" s="13" t="s">
        <v>7</v>
      </c>
      <c r="E18" s="14" t="s">
        <v>8</v>
      </c>
    </row>
    <row r="19" spans="2:5">
      <c r="B19" t="s">
        <v>5</v>
      </c>
      <c r="C19" s="41">
        <v>428</v>
      </c>
      <c r="D19" s="17">
        <f>C19/($C$19+$C$20+$C$21)</f>
        <v>0.19805645534474781</v>
      </c>
      <c r="E19" s="8">
        <f>(C8+C16)*D19</f>
        <v>2112.3552799629801</v>
      </c>
    </row>
    <row r="20" spans="2:5">
      <c r="B20" s="37" t="s">
        <v>6</v>
      </c>
      <c r="C20" s="42">
        <v>544</v>
      </c>
      <c r="D20" s="38">
        <f t="shared" ref="D20:D21" si="0">C20/($C$19+$C$20+$C$21)</f>
        <v>0.25173530772790376</v>
      </c>
      <c r="E20" s="39">
        <f>(C8+C16)*D20</f>
        <v>2684.8627857473393</v>
      </c>
    </row>
    <row r="21" spans="2:5">
      <c r="B21" s="37" t="s">
        <v>14</v>
      </c>
      <c r="C21" s="42">
        <v>1189</v>
      </c>
      <c r="D21" s="38">
        <f t="shared" si="0"/>
        <v>0.55020823692734844</v>
      </c>
      <c r="E21" s="39">
        <f>(C8+C16)*D21</f>
        <v>5868.201934289681</v>
      </c>
    </row>
    <row r="24" spans="2:5">
      <c r="B24" s="92" t="s">
        <v>45</v>
      </c>
      <c r="C24" s="92"/>
      <c r="D24" s="92"/>
      <c r="E24" s="92"/>
    </row>
    <row r="25" spans="2:5">
      <c r="B25" s="92"/>
      <c r="C25" s="92"/>
      <c r="D25" s="92"/>
      <c r="E25" s="92"/>
    </row>
    <row r="26" spans="2:5">
      <c r="B26" s="92" t="s">
        <v>46</v>
      </c>
      <c r="C26" s="92"/>
      <c r="D26" s="92"/>
      <c r="E26" s="92"/>
    </row>
    <row r="27" spans="2:5">
      <c r="B27" s="92" t="s">
        <v>47</v>
      </c>
      <c r="C27" s="92"/>
      <c r="D27" s="92"/>
      <c r="E27" s="92"/>
    </row>
  </sheetData>
  <mergeCells count="4">
    <mergeCell ref="B24:E24"/>
    <mergeCell ref="B25:E25"/>
    <mergeCell ref="B26:E26"/>
    <mergeCell ref="B27:E27"/>
  </mergeCells>
  <pageMargins left="0.31496062992125984" right="0.39370078740157483" top="0.98425196850393704" bottom="0.98425196850393704" header="0.51181102362204722" footer="0.51181102362204722"/>
  <pageSetup paperSize="9" scale="95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30"/>
  <sheetViews>
    <sheetView showGridLines="0" topLeftCell="B1" zoomScale="150" zoomScaleNormal="150" zoomScalePageLayoutView="150" workbookViewId="0">
      <selection activeCell="B1" sqref="B1:G25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3.125" customWidth="1"/>
  </cols>
  <sheetData>
    <row r="2" spans="2:5" s="4" customFormat="1" ht="18.75">
      <c r="B2" s="9" t="s">
        <v>75</v>
      </c>
      <c r="C2" s="10"/>
      <c r="D2" s="5"/>
      <c r="E2" s="7"/>
    </row>
    <row r="3" spans="2:5" ht="18.75">
      <c r="B3" t="s">
        <v>2</v>
      </c>
      <c r="C3" s="50">
        <f>17342.61+53405.7+270153.7</f>
        <v>340902.01</v>
      </c>
      <c r="E3" s="7"/>
    </row>
    <row r="4" spans="2:5" ht="18.75">
      <c r="B4" t="s">
        <v>15</v>
      </c>
      <c r="C4" s="40">
        <f>1965.62</f>
        <v>1965.62</v>
      </c>
      <c r="D4" s="43"/>
      <c r="E4" s="7"/>
    </row>
    <row r="5" spans="2:5" ht="18.75">
      <c r="B5" t="s">
        <v>16</v>
      </c>
      <c r="C5" s="40">
        <v>18536</v>
      </c>
      <c r="D5" s="43"/>
      <c r="E5" s="7"/>
    </row>
    <row r="6" spans="2:5" ht="18.75">
      <c r="B6" t="s">
        <v>44</v>
      </c>
      <c r="C6" s="1">
        <f>C3*71.96%</f>
        <v>245313.08639599997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606716.716396</v>
      </c>
      <c r="E8" s="7"/>
    </row>
    <row r="9" spans="2:5">
      <c r="B9" s="2"/>
      <c r="C9" s="3"/>
    </row>
    <row r="10" spans="2:5" s="4" customFormat="1" ht="18.75">
      <c r="B10" s="9" t="s">
        <v>75</v>
      </c>
      <c r="C10" s="10"/>
      <c r="D10" s="5"/>
      <c r="E10" s="7"/>
    </row>
    <row r="11" spans="2:5">
      <c r="B11" t="s">
        <v>63</v>
      </c>
      <c r="C11" s="36">
        <f>879.19+3770.93+1959.4</f>
        <v>6609.52</v>
      </c>
    </row>
    <row r="12" spans="2:5">
      <c r="B12" t="s">
        <v>51</v>
      </c>
      <c r="C12" s="36">
        <f>51.48+852.51+23.99+808.3</f>
        <v>1736.28</v>
      </c>
      <c r="D12" s="43"/>
    </row>
    <row r="13" spans="2:5">
      <c r="B13" t="s">
        <v>11</v>
      </c>
      <c r="C13" s="36">
        <v>17171.060000000001</v>
      </c>
    </row>
    <row r="14" spans="2:5">
      <c r="B14" t="s">
        <v>13</v>
      </c>
      <c r="C14" s="36">
        <v>890.18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9705.27+800+756+1104+1276.5</f>
        <v>13641.77</v>
      </c>
    </row>
    <row r="17" spans="2:7">
      <c r="B17" s="45" t="s">
        <v>12</v>
      </c>
      <c r="C17" s="36">
        <f>1001+1652.43</f>
        <v>2653.4300000000003</v>
      </c>
    </row>
    <row r="18" spans="2:7">
      <c r="B18" s="2" t="s">
        <v>3</v>
      </c>
      <c r="C18" s="3">
        <f>SUM(C11:C17)</f>
        <v>42702.239999999998</v>
      </c>
    </row>
    <row r="19" spans="2:7">
      <c r="B19" s="2" t="s">
        <v>43</v>
      </c>
      <c r="C19" s="1">
        <f>C8+C18</f>
        <v>649418.95639599999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524</v>
      </c>
      <c r="D21" s="54">
        <f>C21/($C$21+$C$22+$C$25+$C$24+$C$23)</f>
        <v>0.17577993961757798</v>
      </c>
      <c r="E21" s="58">
        <f>(C8+C18)*D21</f>
        <v>114154.82494179939</v>
      </c>
    </row>
    <row r="22" spans="2:7">
      <c r="B22" s="51" t="s">
        <v>65</v>
      </c>
      <c r="C22" s="55">
        <v>127</v>
      </c>
      <c r="D22" s="54">
        <f t="shared" ref="D22:D25" si="0">C22/($C$21+$C$22+$C$25+$C$24+$C$23)</f>
        <v>4.2603153304260316E-2</v>
      </c>
      <c r="E22" s="58">
        <f>(C8+C18)*D22</f>
        <v>27667.295358031533</v>
      </c>
    </row>
    <row r="23" spans="2:7">
      <c r="B23" s="51" t="s">
        <v>72</v>
      </c>
      <c r="C23" s="55">
        <v>628</v>
      </c>
      <c r="D23" s="54">
        <f t="shared" si="0"/>
        <v>0.21066756122106675</v>
      </c>
      <c r="E23" s="58">
        <f>(C8+C18)*D23</f>
        <v>136811.50775467561</v>
      </c>
    </row>
    <row r="24" spans="2:7">
      <c r="B24" s="51" t="s">
        <v>71</v>
      </c>
      <c r="C24" s="55">
        <v>567</v>
      </c>
      <c r="D24" s="54">
        <f t="shared" si="0"/>
        <v>0.19020462931902046</v>
      </c>
      <c r="E24" s="58">
        <f>(C8+C18)*D24</f>
        <v>123522.49187404629</v>
      </c>
    </row>
    <row r="25" spans="2:7">
      <c r="B25" s="37" t="s">
        <v>14</v>
      </c>
      <c r="C25" s="42">
        <v>1135</v>
      </c>
      <c r="D25" s="54">
        <f t="shared" si="0"/>
        <v>0.38074471653807446</v>
      </c>
      <c r="E25" s="58">
        <f>(C8+C18)*D25</f>
        <v>247262.83646744717</v>
      </c>
      <c r="G25" s="57" t="s">
        <v>78</v>
      </c>
    </row>
    <row r="27" spans="2:7">
      <c r="B27" s="93" t="s">
        <v>45</v>
      </c>
      <c r="C27" s="93"/>
      <c r="D27" s="93"/>
      <c r="E27" s="93"/>
      <c r="G27" s="56"/>
    </row>
    <row r="28" spans="2:7">
      <c r="B28" s="92"/>
      <c r="C28" s="92"/>
      <c r="D28" s="92"/>
      <c r="E28" s="92"/>
    </row>
    <row r="29" spans="2:7">
      <c r="B29" s="92" t="s">
        <v>74</v>
      </c>
      <c r="C29" s="92"/>
      <c r="D29" s="92"/>
      <c r="E29" s="92"/>
    </row>
    <row r="30" spans="2:7">
      <c r="B30" s="92" t="s">
        <v>66</v>
      </c>
      <c r="C30" s="92"/>
      <c r="D30" s="92"/>
      <c r="E30" s="92"/>
    </row>
  </sheetData>
  <mergeCells count="4">
    <mergeCell ref="B27:E27"/>
    <mergeCell ref="B28:E28"/>
    <mergeCell ref="B29:E29"/>
    <mergeCell ref="B30:E30"/>
  </mergeCells>
  <hyperlinks>
    <hyperlink ref="B10" r:id="rId1" display="https://webmail-seguro.com.br/isgsaude.org/?_task=mail&amp;_mbox=INBOX" xr:uid="{00000000-0004-0000-0100-000000000000}"/>
  </hyperlinks>
  <pageMargins left="0.19685039370078741" right="0.19685039370078741" top="0.78740157480314965" bottom="0.19685039370078741" header="0.51181102362204722" footer="0.51181102362204722"/>
  <pageSetup paperSize="9" scale="76" fitToHeight="0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32"/>
  <sheetViews>
    <sheetView showGridLines="0" zoomScale="150" zoomScaleNormal="150" zoomScalePageLayoutView="150" workbookViewId="0">
      <selection activeCell="D4" sqref="D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2.125" bestFit="1" customWidth="1"/>
  </cols>
  <sheetData>
    <row r="2" spans="2:5" s="4" customFormat="1" ht="18.75">
      <c r="B2" s="9" t="s">
        <v>81</v>
      </c>
      <c r="C2" s="10"/>
      <c r="D2" s="5"/>
      <c r="E2" s="7"/>
    </row>
    <row r="3" spans="2:5" ht="18.75">
      <c r="B3" t="s">
        <v>2</v>
      </c>
      <c r="C3" s="40">
        <v>450143.59</v>
      </c>
      <c r="E3" s="7"/>
    </row>
    <row r="4" spans="2:5" ht="18.75">
      <c r="B4" t="s">
        <v>15</v>
      </c>
      <c r="C4" s="40">
        <v>530.4</v>
      </c>
      <c r="D4" s="43"/>
      <c r="E4" s="7"/>
    </row>
    <row r="5" spans="2:5" ht="18.75">
      <c r="B5" t="s">
        <v>16</v>
      </c>
      <c r="C5" s="40">
        <v>22198.76</v>
      </c>
      <c r="D5" s="43"/>
      <c r="E5" s="7"/>
    </row>
    <row r="6" spans="2:5" ht="18.75">
      <c r="B6" t="s">
        <v>44</v>
      </c>
      <c r="C6" s="1">
        <f>C3*71.96%</f>
        <v>323923.32736399997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796796.07736400003</v>
      </c>
      <c r="E8" s="7"/>
    </row>
    <row r="9" spans="2:5">
      <c r="B9" s="2"/>
      <c r="C9" s="3"/>
    </row>
    <row r="10" spans="2:5" s="4" customFormat="1" ht="18.75">
      <c r="B10" s="9" t="s">
        <v>81</v>
      </c>
      <c r="C10" s="10"/>
      <c r="D10" s="5"/>
      <c r="E10" s="7"/>
    </row>
    <row r="11" spans="2:5">
      <c r="B11" t="s">
        <v>63</v>
      </c>
      <c r="C11" s="36">
        <f>640.46+5278+2336.11</f>
        <v>8254.57</v>
      </c>
    </row>
    <row r="12" spans="2:5">
      <c r="B12" t="s">
        <v>51</v>
      </c>
      <c r="C12" s="36">
        <f>94.13+7.16+143.73+170.28</f>
        <v>415.29999999999995</v>
      </c>
      <c r="D12" s="43"/>
    </row>
    <row r="13" spans="2:5">
      <c r="B13" t="s">
        <v>11</v>
      </c>
      <c r="C13" s="36">
        <f>18023.87</f>
        <v>18023.87</v>
      </c>
    </row>
    <row r="14" spans="2:5">
      <c r="B14" t="s">
        <v>13</v>
      </c>
      <c r="C14" s="36">
        <f>1313.79</f>
        <v>1313.79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v>0</v>
      </c>
    </row>
    <row r="17" spans="2:7">
      <c r="B17" s="45" t="s">
        <v>12</v>
      </c>
      <c r="C17" s="36">
        <f>1590+1652.43</f>
        <v>3242.4300000000003</v>
      </c>
    </row>
    <row r="18" spans="2:7">
      <c r="B18" s="2" t="s">
        <v>3</v>
      </c>
      <c r="C18" s="3">
        <f>SUM(C11:C17)</f>
        <v>31249.96</v>
      </c>
    </row>
    <row r="19" spans="2:7">
      <c r="B19" s="2" t="s">
        <v>43</v>
      </c>
      <c r="C19" s="1">
        <f>C8+C18</f>
        <v>828046.03736399999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62" t="s">
        <v>5</v>
      </c>
      <c r="C21" s="55">
        <v>546</v>
      </c>
      <c r="D21" s="60">
        <f>C21/($C$21+$C$22+$C$27+$C$26+$C$23+$C$24+$C$25)</f>
        <v>0.14410134600158353</v>
      </c>
      <c r="E21" s="61">
        <f>(C8+C18)*D21</f>
        <v>119322.54853542993</v>
      </c>
    </row>
    <row r="22" spans="2:7">
      <c r="B22" s="62" t="s">
        <v>65</v>
      </c>
      <c r="C22" s="55">
        <v>129</v>
      </c>
      <c r="D22" s="60">
        <f t="shared" ref="D22:D27" si="0">C22/($C$21+$C$22+$C$27+$C$26+$C$23+$C$24+$C$25)</f>
        <v>3.4045922406967535E-2</v>
      </c>
      <c r="E22" s="61">
        <f>(C8+C18)*D22</f>
        <v>28191.591137491683</v>
      </c>
    </row>
    <row r="23" spans="2:7">
      <c r="B23" s="62" t="s">
        <v>72</v>
      </c>
      <c r="C23" s="55">
        <v>656</v>
      </c>
      <c r="D23" s="60">
        <f t="shared" si="0"/>
        <v>0.17313275270519926</v>
      </c>
      <c r="E23" s="61">
        <f>(C8+C18)*D23</f>
        <v>143361.88981546159</v>
      </c>
    </row>
    <row r="24" spans="2:7">
      <c r="B24" s="62" t="s">
        <v>76</v>
      </c>
      <c r="C24" s="55">
        <v>438</v>
      </c>
      <c r="D24" s="60">
        <f t="shared" si="0"/>
        <v>0.11559778305621536</v>
      </c>
      <c r="E24" s="61">
        <f>(C8+C18)*D24</f>
        <v>95720.286187762467</v>
      </c>
    </row>
    <row r="25" spans="2:7">
      <c r="B25" s="62" t="s">
        <v>77</v>
      </c>
      <c r="C25" s="55">
        <v>171</v>
      </c>
      <c r="D25" s="60">
        <f t="shared" si="0"/>
        <v>4.5130641330166268E-2</v>
      </c>
      <c r="E25" s="61">
        <f>(C8+C18)*D25</f>
        <v>37370.248717140137</v>
      </c>
    </row>
    <row r="26" spans="2:7">
      <c r="B26" s="51" t="s">
        <v>71</v>
      </c>
      <c r="C26" s="55">
        <v>671</v>
      </c>
      <c r="D26" s="60">
        <f t="shared" si="0"/>
        <v>0.17709158089205596</v>
      </c>
      <c r="E26" s="61">
        <f>(C8+C18)*D26</f>
        <v>146639.9818081932</v>
      </c>
    </row>
    <row r="27" spans="2:7">
      <c r="B27" s="59" t="s">
        <v>14</v>
      </c>
      <c r="C27" s="42">
        <v>1178</v>
      </c>
      <c r="D27" s="63">
        <f t="shared" si="0"/>
        <v>0.31089997360781207</v>
      </c>
      <c r="E27" s="64">
        <f>(C8+C18)*D27</f>
        <v>257439.49116252098</v>
      </c>
      <c r="G27" s="65"/>
    </row>
    <row r="29" spans="2:7">
      <c r="B29" s="93" t="s">
        <v>45</v>
      </c>
      <c r="C29" s="93"/>
      <c r="D29" s="93"/>
      <c r="E29" s="93"/>
      <c r="G29" s="56"/>
    </row>
    <row r="30" spans="2:7">
      <c r="B30" s="92"/>
      <c r="C30" s="92"/>
      <c r="D30" s="92"/>
      <c r="E30" s="92"/>
    </row>
    <row r="31" spans="2:7">
      <c r="B31" s="92" t="s">
        <v>79</v>
      </c>
      <c r="C31" s="92"/>
      <c r="D31" s="92"/>
      <c r="E31" s="92"/>
    </row>
    <row r="32" spans="2:7">
      <c r="B32" s="92" t="s">
        <v>80</v>
      </c>
      <c r="C32" s="92"/>
      <c r="D32" s="92"/>
      <c r="E32" s="92"/>
    </row>
  </sheetData>
  <mergeCells count="4">
    <mergeCell ref="B29:E29"/>
    <mergeCell ref="B30:E30"/>
    <mergeCell ref="B31:E31"/>
    <mergeCell ref="B32:E32"/>
  </mergeCells>
  <pageMargins left="0.19685039370078741" right="0.19685039370078741" top="1.3779527559055118" bottom="0.19685039370078741" header="0.51181102362204722" footer="0.51181102362204722"/>
  <pageSetup paperSize="9" scale="7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G32"/>
  <sheetViews>
    <sheetView showGridLines="0" tabSelected="1" topLeftCell="A16" zoomScale="130" zoomScaleNormal="130" zoomScalePageLayoutView="150" workbookViewId="0">
      <selection activeCell="D4" sqref="D4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133</v>
      </c>
      <c r="C2" s="10"/>
      <c r="D2" s="5"/>
      <c r="E2" s="7"/>
    </row>
    <row r="3" spans="2:5" ht="18.75">
      <c r="B3" t="s">
        <v>2</v>
      </c>
      <c r="C3" s="82">
        <v>864276.34</v>
      </c>
      <c r="E3" s="7"/>
    </row>
    <row r="4" spans="2:5" ht="18.75">
      <c r="B4" t="s">
        <v>127</v>
      </c>
      <c r="C4" s="1">
        <f>C3*37.05%</f>
        <v>320214.38396999997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1184490.7239699999</v>
      </c>
      <c r="E6" s="7"/>
    </row>
    <row r="7" spans="2:5">
      <c r="B7" s="2"/>
      <c r="C7" s="3"/>
    </row>
    <row r="8" spans="2:5" s="4" customFormat="1" ht="18.75">
      <c r="B8" s="9" t="str">
        <f>B2</f>
        <v>CUSTOS PARA RATEIO CORPORATIVO -JUNHO 2025</v>
      </c>
      <c r="C8" s="10"/>
      <c r="D8" s="5"/>
      <c r="E8" s="7"/>
    </row>
    <row r="9" spans="2:5">
      <c r="B9" t="s">
        <v>63</v>
      </c>
      <c r="C9" s="36">
        <f>SUM(C10:C10)</f>
        <v>6717.28</v>
      </c>
    </row>
    <row r="10" spans="2:5" outlineLevel="1">
      <c r="B10" s="76" t="s">
        <v>91</v>
      </c>
      <c r="C10" s="77">
        <f>'Serv prestados '!E17</f>
        <v>6717.28</v>
      </c>
    </row>
    <row r="11" spans="2:5">
      <c r="B11" t="s">
        <v>51</v>
      </c>
      <c r="C11" s="36">
        <f>SUM(C12:C12)</f>
        <v>802.87</v>
      </c>
      <c r="D11" s="43"/>
    </row>
    <row r="12" spans="2:5" outlineLevel="1">
      <c r="B12" s="76" t="s">
        <v>92</v>
      </c>
      <c r="C12" s="77">
        <f>'Serv prestados '!E20+'Serv prestados '!E21+'Serv prestados '!E22+'Serv prestados '!E23</f>
        <v>802.87</v>
      </c>
      <c r="D12" s="43"/>
    </row>
    <row r="13" spans="2:5">
      <c r="B13" t="s">
        <v>11</v>
      </c>
      <c r="C13" s="36">
        <f>C14</f>
        <v>20140</v>
      </c>
    </row>
    <row r="14" spans="2:5" outlineLevel="1">
      <c r="B14" s="76" t="s">
        <v>93</v>
      </c>
      <c r="C14" s="77">
        <f>'Serv prestados '!E18</f>
        <v>20140</v>
      </c>
    </row>
    <row r="15" spans="2:5">
      <c r="B15" t="s">
        <v>13</v>
      </c>
      <c r="C15" s="36">
        <f>SUM(C16)</f>
        <v>2892.03</v>
      </c>
    </row>
    <row r="16" spans="2:5" outlineLevel="1">
      <c r="B16" s="76" t="s">
        <v>94</v>
      </c>
      <c r="C16" s="77">
        <f>'Serv prestados '!E19</f>
        <v>2892.03</v>
      </c>
    </row>
    <row r="17" spans="2:7">
      <c r="B17" s="44" t="s">
        <v>97</v>
      </c>
      <c r="C17" s="75">
        <f>'Serv prestados '!E14</f>
        <v>157156.68000000002</v>
      </c>
      <c r="E17" s="36"/>
    </row>
    <row r="18" spans="2:7" outlineLevel="1">
      <c r="B18" s="76" t="s">
        <v>95</v>
      </c>
      <c r="C18" s="77">
        <f>C17</f>
        <v>157156.68000000002</v>
      </c>
      <c r="E18" s="36"/>
    </row>
    <row r="19" spans="2:7">
      <c r="B19" s="2" t="s">
        <v>3</v>
      </c>
      <c r="C19" s="3">
        <f>C9+C11+C13+C15+C17</f>
        <v>187708.86000000002</v>
      </c>
    </row>
    <row r="20" spans="2:7">
      <c r="B20" s="2" t="s">
        <v>43</v>
      </c>
      <c r="C20" s="1">
        <f>C6+C19</f>
        <v>1372199.58397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42">
        <v>505</v>
      </c>
      <c r="D22" s="60">
        <f>C22/($C$22+$C$23+$C$26+$C$24+$C$25+$C$27+$C$28)</f>
        <v>0.15363553392150897</v>
      </c>
      <c r="E22" s="66">
        <f>(C6+C19)*D22</f>
        <v>210818.61573010343</v>
      </c>
    </row>
    <row r="23" spans="2:7">
      <c r="B23" s="59" t="s">
        <v>65</v>
      </c>
      <c r="C23" s="42">
        <v>121</v>
      </c>
      <c r="D23" s="60">
        <f t="shared" ref="D23:D28" si="0">C23/($C$22+$C$23+$C$26+$C$24+$C$25+$C$27+$C$28)</f>
        <v>3.6811682385153636E-2</v>
      </c>
      <c r="E23" s="66">
        <f>(C6+C19)*D23</f>
        <v>50512.975254143596</v>
      </c>
    </row>
    <row r="24" spans="2:7">
      <c r="B24" s="62" t="s">
        <v>72</v>
      </c>
      <c r="C24" s="55">
        <v>703</v>
      </c>
      <c r="D24" s="60">
        <f t="shared" si="0"/>
        <v>0.2138728323699422</v>
      </c>
      <c r="E24" s="61">
        <f>(C6+C19)*D24</f>
        <v>293476.21160052024</v>
      </c>
    </row>
    <row r="25" spans="2:7">
      <c r="B25" s="62" t="s">
        <v>77</v>
      </c>
      <c r="C25" s="55">
        <v>138</v>
      </c>
      <c r="D25" s="60">
        <f t="shared" si="0"/>
        <v>4.1983571645877703E-2</v>
      </c>
      <c r="E25" s="61">
        <f>(C6+C19)*D25</f>
        <v>57609.839546048075</v>
      </c>
    </row>
    <row r="26" spans="2:7">
      <c r="B26" s="51" t="s">
        <v>71</v>
      </c>
      <c r="C26" s="55">
        <v>695</v>
      </c>
      <c r="D26" s="60">
        <f t="shared" si="0"/>
        <v>0.21143900212960146</v>
      </c>
      <c r="E26" s="61">
        <f>(C6+C19)*D26</f>
        <v>290136.51075727108</v>
      </c>
    </row>
    <row r="27" spans="2:7">
      <c r="B27" s="62" t="s">
        <v>82</v>
      </c>
      <c r="C27" s="55">
        <v>1009</v>
      </c>
      <c r="D27" s="60">
        <f t="shared" si="0"/>
        <v>0.30696683906297534</v>
      </c>
      <c r="E27" s="61">
        <f>(C6+C19)*D27</f>
        <v>421219.76885480073</v>
      </c>
    </row>
    <row r="28" spans="2:7">
      <c r="B28" s="62" t="s">
        <v>83</v>
      </c>
      <c r="C28" s="55">
        <v>116</v>
      </c>
      <c r="D28" s="60">
        <f t="shared" si="0"/>
        <v>3.5290538484940674E-2</v>
      </c>
      <c r="E28" s="61">
        <f>(C6+C19)*D28</f>
        <v>48425.662227112865</v>
      </c>
      <c r="G28" s="2"/>
    </row>
    <row r="29" spans="2:7">
      <c r="B29" s="93" t="s">
        <v>45</v>
      </c>
      <c r="C29" s="93"/>
      <c r="D29" s="93"/>
      <c r="E29" s="93"/>
      <c r="G29" s="56"/>
    </row>
    <row r="30" spans="2:7">
      <c r="B30" s="92"/>
      <c r="C30" s="92"/>
      <c r="D30" s="92"/>
      <c r="E30" s="92"/>
    </row>
    <row r="31" spans="2:7">
      <c r="B31" s="92" t="s">
        <v>79</v>
      </c>
      <c r="C31" s="92"/>
      <c r="D31" s="92"/>
      <c r="E31" s="92"/>
    </row>
    <row r="32" spans="2:7">
      <c r="B32" s="92" t="s">
        <v>115</v>
      </c>
      <c r="C32" s="92"/>
      <c r="D32" s="92"/>
      <c r="E32" s="92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29"/>
  <sheetViews>
    <sheetView topLeftCell="A10" workbookViewId="0">
      <selection activeCell="A12" sqref="A12"/>
    </sheetView>
  </sheetViews>
  <sheetFormatPr defaultRowHeight="15.75"/>
  <cols>
    <col min="1" max="1" width="40" bestFit="1" customWidth="1"/>
    <col min="2" max="2" width="11.125" customWidth="1"/>
    <col min="3" max="3" width="44" bestFit="1" customWidth="1"/>
    <col min="4" max="4" width="18.625" bestFit="1" customWidth="1"/>
    <col min="5" max="5" width="12.625" bestFit="1" customWidth="1"/>
    <col min="6" max="6" width="12.25" bestFit="1" customWidth="1"/>
  </cols>
  <sheetData>
    <row r="2" spans="1:7" ht="16.5">
      <c r="A2" s="67" t="s">
        <v>84</v>
      </c>
      <c r="B2" s="67" t="s">
        <v>85</v>
      </c>
      <c r="C2" s="67" t="s">
        <v>86</v>
      </c>
      <c r="D2" s="67" t="s">
        <v>87</v>
      </c>
      <c r="E2" s="68" t="s">
        <v>88</v>
      </c>
      <c r="F2" s="68" t="s">
        <v>89</v>
      </c>
    </row>
    <row r="3" spans="1:7">
      <c r="A3" s="89" t="s">
        <v>121</v>
      </c>
      <c r="B3" s="74">
        <v>862</v>
      </c>
      <c r="C3" s="89" t="s">
        <v>122</v>
      </c>
      <c r="D3" s="69" t="s">
        <v>104</v>
      </c>
      <c r="E3" s="88">
        <v>2658.24</v>
      </c>
      <c r="F3" s="71">
        <v>45810</v>
      </c>
      <c r="G3" s="71"/>
    </row>
    <row r="4" spans="1:7">
      <c r="A4" s="69" t="s">
        <v>102</v>
      </c>
      <c r="B4" s="78">
        <v>555</v>
      </c>
      <c r="C4" s="70" t="s">
        <v>103</v>
      </c>
      <c r="D4" s="69" t="s">
        <v>104</v>
      </c>
      <c r="E4" s="79">
        <v>36395.03</v>
      </c>
      <c r="F4" s="71">
        <v>45811</v>
      </c>
      <c r="G4" s="71"/>
    </row>
    <row r="5" spans="1:7">
      <c r="A5" s="69" t="s">
        <v>125</v>
      </c>
      <c r="B5" s="73">
        <v>32</v>
      </c>
      <c r="C5" s="70" t="s">
        <v>126</v>
      </c>
      <c r="D5" s="69" t="s">
        <v>90</v>
      </c>
      <c r="E5" s="79">
        <v>8000</v>
      </c>
      <c r="F5" s="71">
        <v>45811</v>
      </c>
      <c r="G5" s="71"/>
    </row>
    <row r="6" spans="1:7">
      <c r="A6" s="70" t="s">
        <v>116</v>
      </c>
      <c r="B6" s="72" t="s">
        <v>134</v>
      </c>
      <c r="C6" s="70" t="s">
        <v>98</v>
      </c>
      <c r="D6" s="70" t="s">
        <v>90</v>
      </c>
      <c r="E6" s="79">
        <v>26500</v>
      </c>
      <c r="F6" s="71">
        <v>45813</v>
      </c>
      <c r="G6" s="71"/>
    </row>
    <row r="7" spans="1:7">
      <c r="A7" s="70" t="s">
        <v>123</v>
      </c>
      <c r="B7" s="90">
        <v>24154</v>
      </c>
      <c r="C7" s="69" t="s">
        <v>124</v>
      </c>
      <c r="D7" s="69" t="s">
        <v>90</v>
      </c>
      <c r="E7" s="79">
        <v>3668.57</v>
      </c>
      <c r="F7" s="71">
        <v>45813</v>
      </c>
      <c r="G7" s="71"/>
    </row>
    <row r="8" spans="1:7">
      <c r="A8" s="69" t="s">
        <v>99</v>
      </c>
      <c r="B8" s="72" t="s">
        <v>137</v>
      </c>
      <c r="C8" s="70" t="s">
        <v>100</v>
      </c>
      <c r="D8" s="70" t="s">
        <v>90</v>
      </c>
      <c r="E8" s="79">
        <v>26125.25</v>
      </c>
      <c r="F8" s="71">
        <v>45813</v>
      </c>
      <c r="G8" s="71"/>
    </row>
    <row r="9" spans="1:7">
      <c r="A9" s="69" t="s">
        <v>101</v>
      </c>
      <c r="B9" s="73">
        <v>9688</v>
      </c>
      <c r="C9" s="69" t="s">
        <v>120</v>
      </c>
      <c r="D9" s="69" t="s">
        <v>90</v>
      </c>
      <c r="E9" s="79">
        <v>19945</v>
      </c>
      <c r="F9" s="71">
        <v>45813</v>
      </c>
      <c r="G9" s="71"/>
    </row>
    <row r="10" spans="1:7">
      <c r="A10" s="69" t="s">
        <v>113</v>
      </c>
      <c r="B10" s="74">
        <v>70101</v>
      </c>
      <c r="C10" s="69" t="s">
        <v>114</v>
      </c>
      <c r="D10" s="70" t="s">
        <v>90</v>
      </c>
      <c r="E10" s="79">
        <v>4265.6099999999997</v>
      </c>
      <c r="F10" s="71">
        <v>45813</v>
      </c>
      <c r="G10" s="71"/>
    </row>
    <row r="11" spans="1:7">
      <c r="A11" s="69" t="s">
        <v>128</v>
      </c>
      <c r="B11" s="91">
        <v>202510</v>
      </c>
      <c r="C11" s="70" t="s">
        <v>129</v>
      </c>
      <c r="D11" s="69" t="s">
        <v>90</v>
      </c>
      <c r="E11" s="79">
        <v>11000</v>
      </c>
      <c r="F11" s="71">
        <v>45813</v>
      </c>
      <c r="G11" s="71"/>
    </row>
    <row r="12" spans="1:7">
      <c r="A12" s="70" t="s">
        <v>130</v>
      </c>
      <c r="B12" s="78">
        <v>14</v>
      </c>
      <c r="C12" s="69" t="s">
        <v>131</v>
      </c>
      <c r="D12" s="70" t="s">
        <v>90</v>
      </c>
      <c r="E12" s="79">
        <v>9000</v>
      </c>
      <c r="F12" s="71">
        <v>45813</v>
      </c>
      <c r="G12" s="71"/>
    </row>
    <row r="13" spans="1:7">
      <c r="A13" s="69" t="s">
        <v>96</v>
      </c>
      <c r="B13" s="74" t="s">
        <v>135</v>
      </c>
      <c r="C13" s="69" t="s">
        <v>136</v>
      </c>
      <c r="D13" s="69" t="s">
        <v>90</v>
      </c>
      <c r="E13" s="79">
        <v>9598.98</v>
      </c>
      <c r="F13" s="71">
        <v>45813</v>
      </c>
      <c r="G13" s="71"/>
    </row>
    <row r="14" spans="1:7" ht="16.5">
      <c r="A14" s="94" t="s">
        <v>111</v>
      </c>
      <c r="B14" s="94"/>
      <c r="C14" s="94"/>
      <c r="D14" s="94"/>
      <c r="E14" s="81">
        <f>SUM(E3:E13)</f>
        <v>157156.68000000002</v>
      </c>
      <c r="F14" s="80"/>
    </row>
    <row r="16" spans="1:7" ht="16.5">
      <c r="A16" s="67" t="s">
        <v>84</v>
      </c>
      <c r="B16" s="67" t="s">
        <v>85</v>
      </c>
      <c r="C16" s="67" t="s">
        <v>86</v>
      </c>
      <c r="D16" s="67" t="s">
        <v>87</v>
      </c>
      <c r="E16" s="68" t="s">
        <v>88</v>
      </c>
      <c r="F16" s="68" t="s">
        <v>89</v>
      </c>
    </row>
    <row r="17" spans="1:7">
      <c r="A17" s="69" t="s">
        <v>107</v>
      </c>
      <c r="B17" s="74">
        <v>3052024</v>
      </c>
      <c r="C17" s="70" t="s">
        <v>108</v>
      </c>
      <c r="D17" s="69" t="s">
        <v>90</v>
      </c>
      <c r="E17" s="79">
        <v>6717.28</v>
      </c>
      <c r="F17" s="71">
        <v>45810</v>
      </c>
      <c r="G17" s="71"/>
    </row>
    <row r="18" spans="1:7">
      <c r="A18" s="69" t="s">
        <v>117</v>
      </c>
      <c r="B18" s="78">
        <v>2190</v>
      </c>
      <c r="C18" s="70" t="s">
        <v>118</v>
      </c>
      <c r="D18" s="69" t="s">
        <v>90</v>
      </c>
      <c r="E18" s="79">
        <v>20140</v>
      </c>
      <c r="F18" s="71">
        <v>45813</v>
      </c>
      <c r="G18" s="71"/>
    </row>
    <row r="19" spans="1:7">
      <c r="A19" s="69" t="s">
        <v>109</v>
      </c>
      <c r="B19" s="78">
        <v>39109196</v>
      </c>
      <c r="C19" s="70" t="s">
        <v>110</v>
      </c>
      <c r="D19" s="69" t="s">
        <v>90</v>
      </c>
      <c r="E19" s="88">
        <v>2892.03</v>
      </c>
      <c r="F19" s="71">
        <v>45814</v>
      </c>
      <c r="G19" s="71"/>
    </row>
    <row r="20" spans="1:7">
      <c r="A20" s="69" t="s">
        <v>105</v>
      </c>
      <c r="B20" s="74">
        <v>704950985</v>
      </c>
      <c r="C20" s="69" t="s">
        <v>106</v>
      </c>
      <c r="D20" s="70" t="s">
        <v>90</v>
      </c>
      <c r="E20" s="79">
        <v>270.70999999999998</v>
      </c>
      <c r="F20" s="71">
        <v>45820</v>
      </c>
      <c r="G20" s="71"/>
    </row>
    <row r="21" spans="1:7">
      <c r="A21" s="69" t="s">
        <v>105</v>
      </c>
      <c r="B21" s="74">
        <v>7049469491</v>
      </c>
      <c r="C21" s="69" t="s">
        <v>106</v>
      </c>
      <c r="D21" s="69" t="s">
        <v>90</v>
      </c>
      <c r="E21" s="79">
        <v>239.89</v>
      </c>
      <c r="F21" s="71">
        <v>45820</v>
      </c>
      <c r="G21" s="71"/>
    </row>
    <row r="22" spans="1:7">
      <c r="A22" s="70" t="s">
        <v>105</v>
      </c>
      <c r="B22" s="72">
        <v>7084546555</v>
      </c>
      <c r="C22" s="69" t="s">
        <v>106</v>
      </c>
      <c r="D22" s="69" t="s">
        <v>90</v>
      </c>
      <c r="E22" s="79">
        <v>133.44</v>
      </c>
      <c r="F22" s="71">
        <v>45820</v>
      </c>
      <c r="G22" s="71"/>
    </row>
    <row r="23" spans="1:7">
      <c r="A23" s="69" t="s">
        <v>105</v>
      </c>
      <c r="B23" s="72">
        <v>7087899203</v>
      </c>
      <c r="C23" s="69" t="s">
        <v>106</v>
      </c>
      <c r="D23" s="70" t="s">
        <v>90</v>
      </c>
      <c r="E23" s="79">
        <v>158.83000000000001</v>
      </c>
      <c r="F23" s="71">
        <v>45820</v>
      </c>
      <c r="G23" s="71"/>
    </row>
    <row r="24" spans="1:7" ht="16.5">
      <c r="A24" s="94" t="s">
        <v>111</v>
      </c>
      <c r="B24" s="94"/>
      <c r="C24" s="94"/>
      <c r="D24" s="94"/>
      <c r="E24" s="81">
        <f>SUM(E17:E23)</f>
        <v>30552.179999999997</v>
      </c>
      <c r="F24" s="80" t="s">
        <v>112</v>
      </c>
    </row>
    <row r="26" spans="1:7">
      <c r="A26" s="92" t="s">
        <v>45</v>
      </c>
      <c r="B26" s="92"/>
      <c r="C26" s="92"/>
      <c r="D26" s="92"/>
      <c r="E26" s="92"/>
      <c r="F26" s="92"/>
    </row>
    <row r="28" spans="1:7">
      <c r="A28" s="92" t="s">
        <v>79</v>
      </c>
      <c r="B28" s="92"/>
      <c r="C28" s="92"/>
      <c r="D28" s="92"/>
      <c r="E28" s="92"/>
      <c r="F28" s="92"/>
    </row>
    <row r="29" spans="1:7">
      <c r="A29" s="95" t="s">
        <v>115</v>
      </c>
      <c r="B29" s="95"/>
      <c r="C29" s="95"/>
      <c r="D29" s="95"/>
      <c r="E29" s="95"/>
      <c r="F29" s="95"/>
    </row>
  </sheetData>
  <mergeCells count="5">
    <mergeCell ref="A14:D14"/>
    <mergeCell ref="A26:F26"/>
    <mergeCell ref="A28:F28"/>
    <mergeCell ref="A29:F29"/>
    <mergeCell ref="A24:D24"/>
  </mergeCells>
  <pageMargins left="0.511811024" right="0.511811024" top="0.78740157499999996" bottom="0.78740157499999996" header="0.31496062000000002" footer="0.3149606200000000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G32"/>
  <sheetViews>
    <sheetView showGridLines="0" topLeftCell="A15" zoomScale="130" zoomScaleNormal="130" zoomScalePageLayoutView="150" workbookViewId="0">
      <selection activeCell="B4" sqref="B4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132</v>
      </c>
      <c r="C2" s="10"/>
      <c r="D2" s="5"/>
      <c r="E2" s="7"/>
    </row>
    <row r="3" spans="2:5" ht="18.75">
      <c r="B3" t="s">
        <v>2</v>
      </c>
      <c r="C3" s="82">
        <v>883803.7</v>
      </c>
      <c r="E3" s="7"/>
    </row>
    <row r="4" spans="2:5" ht="18.75">
      <c r="B4" t="s">
        <v>127</v>
      </c>
      <c r="C4" s="1">
        <f>C3*37.05%</f>
        <v>327449.27084999997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1211252.9708499999</v>
      </c>
      <c r="E6" s="7"/>
    </row>
    <row r="7" spans="2:5">
      <c r="B7" s="2"/>
      <c r="C7" s="3"/>
    </row>
    <row r="8" spans="2:5" s="4" customFormat="1" ht="18.75">
      <c r="B8" s="9" t="s">
        <v>132</v>
      </c>
      <c r="C8" s="10"/>
      <c r="D8" s="5"/>
      <c r="E8" s="7"/>
    </row>
    <row r="9" spans="2:5">
      <c r="B9" t="s">
        <v>63</v>
      </c>
      <c r="C9" s="36">
        <f>SUM(C10:C10)</f>
        <v>6717.28</v>
      </c>
    </row>
    <row r="10" spans="2:5" outlineLevel="1">
      <c r="B10" s="76" t="s">
        <v>91</v>
      </c>
      <c r="C10" s="77">
        <f>'Serv prestados '!E17</f>
        <v>6717.28</v>
      </c>
    </row>
    <row r="11" spans="2:5">
      <c r="B11" t="s">
        <v>51</v>
      </c>
      <c r="C11" s="36">
        <f>SUM(C12:C12)</f>
        <v>802.87</v>
      </c>
      <c r="D11" s="43"/>
    </row>
    <row r="12" spans="2:5" outlineLevel="1">
      <c r="B12" s="76" t="s">
        <v>92</v>
      </c>
      <c r="C12" s="77">
        <f>'Serv prestados '!E20+'Serv prestados '!E21+'Serv prestados '!E22+'Serv prestados '!E23</f>
        <v>802.87</v>
      </c>
      <c r="D12" s="43"/>
    </row>
    <row r="13" spans="2:5">
      <c r="B13" t="s">
        <v>11</v>
      </c>
      <c r="C13" s="36">
        <f>C14</f>
        <v>20140</v>
      </c>
    </row>
    <row r="14" spans="2:5" outlineLevel="1">
      <c r="B14" s="76" t="s">
        <v>93</v>
      </c>
      <c r="C14" s="77">
        <f>'Serv prestados '!E18</f>
        <v>20140</v>
      </c>
    </row>
    <row r="15" spans="2:5">
      <c r="B15" t="s">
        <v>13</v>
      </c>
      <c r="C15" s="36">
        <f>SUM(C16)</f>
        <v>2892.03</v>
      </c>
    </row>
    <row r="16" spans="2:5" outlineLevel="1">
      <c r="B16" s="76" t="s">
        <v>94</v>
      </c>
      <c r="C16" s="77">
        <f>'Serv prestados '!E19</f>
        <v>2892.03</v>
      </c>
    </row>
    <row r="17" spans="2:7">
      <c r="B17" s="44" t="s">
        <v>97</v>
      </c>
      <c r="C17" s="75">
        <f>'Serv prestados '!E14</f>
        <v>157156.68000000002</v>
      </c>
      <c r="E17" s="36"/>
    </row>
    <row r="18" spans="2:7" outlineLevel="1">
      <c r="B18" s="76" t="s">
        <v>95</v>
      </c>
      <c r="C18" s="77">
        <f>C17</f>
        <v>157156.68000000002</v>
      </c>
      <c r="E18" s="36"/>
    </row>
    <row r="19" spans="2:7">
      <c r="B19" s="2" t="s">
        <v>3</v>
      </c>
      <c r="C19" s="3">
        <f>C9+C11+C13+C15+C17</f>
        <v>187708.86000000002</v>
      </c>
    </row>
    <row r="20" spans="2:7">
      <c r="B20" s="2" t="s">
        <v>43</v>
      </c>
      <c r="C20" s="1">
        <f>C6+C19</f>
        <v>1398961.83085</v>
      </c>
    </row>
    <row r="21" spans="2:7" ht="18.75">
      <c r="B21" s="87" t="s">
        <v>119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84">
        <v>9215643</v>
      </c>
      <c r="D22" s="60">
        <f>C22/($C$22+$C$23+$C$26+$C$24+$C$25+$C$27+$C$28)</f>
        <v>0.18837364190087569</v>
      </c>
      <c r="E22" s="66">
        <f>(C6+C19)*D22</f>
        <v>263527.53495753132</v>
      </c>
      <c r="G22" s="86">
        <f>E22-'Rateio_RH - 2025 1'!E22</f>
        <v>52708.91922742789</v>
      </c>
    </row>
    <row r="23" spans="2:7">
      <c r="B23" s="59" t="s">
        <v>65</v>
      </c>
      <c r="C23" s="84">
        <v>1879376</v>
      </c>
      <c r="D23" s="60">
        <f t="shared" ref="D23:D28" si="0">C23/($C$22+$C$23+$C$26+$C$24+$C$25+$C$27+$C$28)</f>
        <v>3.8415648438323853E-2</v>
      </c>
      <c r="E23" s="66">
        <f>(C6+C19)*D23</f>
        <v>53742.025872567479</v>
      </c>
      <c r="G23" s="86">
        <f>E23-'Rateio_RH - 2025 1'!E23</f>
        <v>3229.0506184238839</v>
      </c>
    </row>
    <row r="24" spans="2:7">
      <c r="B24" s="62" t="s">
        <v>72</v>
      </c>
      <c r="C24" s="85">
        <v>10120512</v>
      </c>
      <c r="D24" s="60">
        <f t="shared" si="0"/>
        <v>0.20686974347221515</v>
      </c>
      <c r="E24" s="61">
        <f>(C6+C19)*D24</f>
        <v>289402.87507535995</v>
      </c>
      <c r="G24" s="86">
        <f>E24-'Rateio_RH - 2025 1'!E24</f>
        <v>-4073.3365251602954</v>
      </c>
    </row>
    <row r="25" spans="2:7">
      <c r="B25" s="62" t="s">
        <v>77</v>
      </c>
      <c r="C25" s="85">
        <v>1499472</v>
      </c>
      <c r="D25" s="60">
        <f t="shared" si="0"/>
        <v>3.0650167499803309E-2</v>
      </c>
      <c r="E25" s="61">
        <f>(C6+C19)*D25</f>
        <v>42878.414441384004</v>
      </c>
      <c r="G25" s="86">
        <f>E25-'Rateio_RH - 2025 1'!E25</f>
        <v>-14731.425104664071</v>
      </c>
    </row>
    <row r="26" spans="2:7">
      <c r="B26" s="51" t="s">
        <v>71</v>
      </c>
      <c r="C26" s="85">
        <v>10187410</v>
      </c>
      <c r="D26" s="60">
        <f t="shared" si="0"/>
        <v>0.20823718141397188</v>
      </c>
      <c r="E26" s="61">
        <f>(C6+C19)*D26</f>
        <v>291315.86856193369</v>
      </c>
      <c r="G26" s="86">
        <f>E26-'Rateio_RH - 2025 1'!E26</f>
        <v>1179.3578046626062</v>
      </c>
    </row>
    <row r="27" spans="2:7">
      <c r="B27" s="62" t="s">
        <v>82</v>
      </c>
      <c r="C27" s="85">
        <v>14600648</v>
      </c>
      <c r="D27" s="60">
        <f t="shared" si="0"/>
        <v>0.29844659107050231</v>
      </c>
      <c r="E27" s="61">
        <f>(C6+C19)*D27</f>
        <v>417515.3894549312</v>
      </c>
      <c r="G27" s="86">
        <f>E27-'Rateio_RH - 2025 1'!E27</f>
        <v>-3704.3793998695328</v>
      </c>
    </row>
    <row r="28" spans="2:7">
      <c r="B28" s="62" t="s">
        <v>83</v>
      </c>
      <c r="C28" s="85">
        <v>1419086</v>
      </c>
      <c r="D28" s="60">
        <f t="shared" si="0"/>
        <v>2.9007026204307836E-2</v>
      </c>
      <c r="E28" s="61">
        <f>(C6+C19)*D28</f>
        <v>40579.722486292419</v>
      </c>
      <c r="G28" s="86">
        <f>E28-'Rateio_RH - 2025 1'!E28</f>
        <v>-7845.9397408204459</v>
      </c>
    </row>
    <row r="29" spans="2:7">
      <c r="B29" s="93" t="s">
        <v>45</v>
      </c>
      <c r="C29" s="93"/>
      <c r="D29" s="93"/>
      <c r="E29" s="93"/>
      <c r="G29" s="56"/>
    </row>
    <row r="30" spans="2:7">
      <c r="B30" s="92"/>
      <c r="C30" s="92"/>
      <c r="D30" s="92"/>
      <c r="E30" s="92"/>
    </row>
    <row r="31" spans="2:7">
      <c r="B31" s="92" t="s">
        <v>79</v>
      </c>
      <c r="C31" s="92"/>
      <c r="D31" s="92"/>
      <c r="E31" s="92"/>
    </row>
    <row r="32" spans="2:7">
      <c r="B32" s="92" t="s">
        <v>115</v>
      </c>
      <c r="C32" s="92"/>
      <c r="D32" s="92"/>
      <c r="E32" s="92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Normal="100" workbookViewId="0">
      <selection sqref="A1:B34"/>
    </sheetView>
  </sheetViews>
  <sheetFormatPr defaultRowHeight="15.75"/>
  <cols>
    <col min="1" max="1" width="40.25" customWidth="1"/>
    <col min="2" max="2" width="10.625" customWidth="1"/>
    <col min="3" max="3" width="0" hidden="1" customWidth="1"/>
    <col min="4" max="4" width="26.375" hidden="1" customWidth="1"/>
    <col min="5" max="5" width="22.5" hidden="1" customWidth="1"/>
    <col min="6" max="6" width="12.25" hidden="1" customWidth="1"/>
    <col min="7" max="7" width="23.375" hidden="1" customWidth="1"/>
  </cols>
  <sheetData>
    <row r="1" spans="1:7">
      <c r="A1" s="93" t="s">
        <v>41</v>
      </c>
      <c r="B1" s="93"/>
      <c r="C1" s="18"/>
      <c r="D1" s="18"/>
      <c r="E1" s="18"/>
    </row>
    <row r="2" spans="1:7">
      <c r="A2" s="28"/>
      <c r="B2" s="28"/>
      <c r="C2" s="18"/>
      <c r="D2" s="18"/>
      <c r="E2" s="18"/>
    </row>
    <row r="3" spans="1:7">
      <c r="A3" s="23" t="s">
        <v>19</v>
      </c>
      <c r="B3" s="22" t="s">
        <v>40</v>
      </c>
      <c r="C3" s="18"/>
      <c r="D3" s="23" t="s">
        <v>53</v>
      </c>
      <c r="E3" s="23" t="s">
        <v>57</v>
      </c>
      <c r="F3" s="46" t="s">
        <v>58</v>
      </c>
      <c r="G3" s="46" t="s">
        <v>59</v>
      </c>
    </row>
    <row r="4" spans="1:7">
      <c r="A4" s="29" t="s">
        <v>23</v>
      </c>
      <c r="B4" s="30">
        <f>SUM(B5:B9)</f>
        <v>0.08</v>
      </c>
      <c r="C4" s="19"/>
      <c r="D4" s="29" t="s">
        <v>54</v>
      </c>
      <c r="E4" s="29"/>
      <c r="F4" s="30"/>
      <c r="G4" s="30"/>
    </row>
    <row r="5" spans="1:7">
      <c r="A5" s="21" t="s">
        <v>18</v>
      </c>
      <c r="B5" s="25">
        <v>0</v>
      </c>
      <c r="C5" s="18"/>
      <c r="D5" s="21" t="s">
        <v>55</v>
      </c>
      <c r="E5" s="21" t="s">
        <v>60</v>
      </c>
      <c r="F5" s="47">
        <v>11647</v>
      </c>
      <c r="G5" s="25" t="s">
        <v>61</v>
      </c>
    </row>
    <row r="6" spans="1:7">
      <c r="A6" s="21" t="s">
        <v>1</v>
      </c>
      <c r="B6" s="25">
        <v>0</v>
      </c>
      <c r="C6" s="18"/>
      <c r="D6" s="21" t="s">
        <v>55</v>
      </c>
      <c r="E6" s="21"/>
      <c r="F6" s="47">
        <v>122</v>
      </c>
      <c r="G6" s="25" t="s">
        <v>62</v>
      </c>
    </row>
    <row r="7" spans="1:7">
      <c r="A7" s="21" t="s">
        <v>20</v>
      </c>
      <c r="B7" s="25">
        <v>0</v>
      </c>
      <c r="C7" s="18"/>
      <c r="D7" s="21" t="s">
        <v>55</v>
      </c>
      <c r="E7" s="21"/>
      <c r="F7" s="47">
        <v>27</v>
      </c>
      <c r="G7" s="25" t="s">
        <v>62</v>
      </c>
    </row>
    <row r="8" spans="1:7">
      <c r="A8" s="21" t="s">
        <v>21</v>
      </c>
      <c r="B8" s="25">
        <v>0</v>
      </c>
      <c r="C8" s="18"/>
      <c r="D8" s="21"/>
      <c r="E8" s="21"/>
      <c r="F8" s="47"/>
      <c r="G8" s="25"/>
    </row>
    <row r="9" spans="1:7">
      <c r="A9" s="21" t="s">
        <v>0</v>
      </c>
      <c r="B9" s="25">
        <v>0.08</v>
      </c>
      <c r="C9" s="18"/>
      <c r="D9" s="23" t="s">
        <v>56</v>
      </c>
      <c r="E9" s="21"/>
      <c r="F9" s="49">
        <f>SUM(F5:F8)</f>
        <v>11796</v>
      </c>
      <c r="G9" s="25"/>
    </row>
    <row r="10" spans="1:7">
      <c r="A10" s="31" t="s">
        <v>22</v>
      </c>
      <c r="B10" s="32">
        <f>SUM(B11:B19)</f>
        <v>0.21209999999999998</v>
      </c>
      <c r="C10" s="18"/>
      <c r="F10" s="48"/>
    </row>
    <row r="11" spans="1:7">
      <c r="A11" s="20" t="s">
        <v>42</v>
      </c>
      <c r="B11" s="26">
        <v>2.7799999999999998E-2</v>
      </c>
    </row>
    <row r="12" spans="1:7">
      <c r="A12" s="20" t="s">
        <v>24</v>
      </c>
      <c r="B12" s="26">
        <v>4.0000000000000002E-4</v>
      </c>
    </row>
    <row r="13" spans="1:7">
      <c r="A13" s="20" t="s">
        <v>25</v>
      </c>
      <c r="B13" s="26">
        <v>1E-4</v>
      </c>
    </row>
    <row r="14" spans="1:7">
      <c r="A14" s="20" t="s">
        <v>26</v>
      </c>
      <c r="B14" s="26">
        <v>2.0000000000000001E-4</v>
      </c>
    </row>
    <row r="15" spans="1:7">
      <c r="A15" s="20" t="s">
        <v>27</v>
      </c>
      <c r="B15" s="26">
        <v>8.3299999999999999E-2</v>
      </c>
    </row>
    <row r="16" spans="1:7">
      <c r="A16" s="20" t="s">
        <v>28</v>
      </c>
      <c r="B16" s="26">
        <v>8.3299999999999999E-2</v>
      </c>
    </row>
    <row r="17" spans="1:2">
      <c r="A17" s="20" t="s">
        <v>29</v>
      </c>
      <c r="B17" s="26">
        <v>1.3899999999999999E-2</v>
      </c>
    </row>
    <row r="18" spans="1:2">
      <c r="A18" s="20" t="s">
        <v>30</v>
      </c>
      <c r="B18" s="26">
        <v>2.8E-3</v>
      </c>
    </row>
    <row r="19" spans="1:2">
      <c r="A19" s="20" t="s">
        <v>31</v>
      </c>
      <c r="B19" s="26">
        <v>2.9999999999999997E-4</v>
      </c>
    </row>
    <row r="20" spans="1:2">
      <c r="A20" s="33" t="s">
        <v>32</v>
      </c>
      <c r="B20" s="34">
        <f>SUM(B21:B24)</f>
        <v>6.1399999999999996E-2</v>
      </c>
    </row>
    <row r="21" spans="1:2">
      <c r="A21" s="20" t="s">
        <v>33</v>
      </c>
      <c r="B21" s="26">
        <v>1.4999999999999999E-2</v>
      </c>
    </row>
    <row r="22" spans="1:2">
      <c r="A22" s="20" t="s">
        <v>34</v>
      </c>
      <c r="B22" s="26">
        <v>1.1000000000000001E-3</v>
      </c>
    </row>
    <row r="23" spans="1:2">
      <c r="A23" s="20" t="s">
        <v>35</v>
      </c>
      <c r="B23" s="26">
        <v>4.2000000000000003E-2</v>
      </c>
    </row>
    <row r="24" spans="1:2">
      <c r="A24" s="20" t="s">
        <v>36</v>
      </c>
      <c r="B24" s="26">
        <v>3.3E-3</v>
      </c>
    </row>
    <row r="25" spans="1:2">
      <c r="A25" s="24" t="s">
        <v>37</v>
      </c>
      <c r="B25" s="27">
        <f>B4*B10</f>
        <v>1.6968E-2</v>
      </c>
    </row>
    <row r="26" spans="1:2">
      <c r="A26" s="24" t="s">
        <v>38</v>
      </c>
      <c r="B26" s="26"/>
    </row>
    <row r="27" spans="1:2">
      <c r="A27" s="33" t="s">
        <v>39</v>
      </c>
      <c r="B27" s="34">
        <f>B4+B10+B20+B25</f>
        <v>0.37046799999999996</v>
      </c>
    </row>
    <row r="30" spans="1:2">
      <c r="A30" s="35" t="s">
        <v>45</v>
      </c>
    </row>
    <row r="32" spans="1:2">
      <c r="A32" s="83" t="s">
        <v>79</v>
      </c>
    </row>
    <row r="33" spans="1:1">
      <c r="A33" s="83" t="s">
        <v>115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G30"/>
  <sheetViews>
    <sheetView showGridLines="0" zoomScale="150" zoomScaleNormal="150" zoomScalePageLayoutView="150" workbookViewId="0">
      <selection activeCell="C4" sqref="C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70</v>
      </c>
      <c r="C2" s="10"/>
      <c r="D2" s="5"/>
      <c r="E2" s="7"/>
    </row>
    <row r="3" spans="2:5" ht="18.75">
      <c r="B3" t="s">
        <v>2</v>
      </c>
      <c r="C3" s="50">
        <f>215404.74</f>
        <v>215404.74</v>
      </c>
      <c r="E3" s="7"/>
    </row>
    <row r="4" spans="2:5" ht="18.75">
      <c r="B4" t="s">
        <v>68</v>
      </c>
      <c r="C4" s="50">
        <f>17342.61*20%+17342.61</f>
        <v>20811.132000000001</v>
      </c>
      <c r="E4" s="7"/>
    </row>
    <row r="5" spans="2:5" ht="18.75">
      <c r="B5" t="s">
        <v>15</v>
      </c>
      <c r="C5" s="40">
        <v>465.08</v>
      </c>
      <c r="D5" s="43"/>
      <c r="E5" s="7"/>
    </row>
    <row r="6" spans="2:5" ht="18.75">
      <c r="B6" t="s">
        <v>16</v>
      </c>
      <c r="C6" s="40">
        <v>10770</v>
      </c>
      <c r="D6" s="43"/>
      <c r="E6" s="7"/>
    </row>
    <row r="7" spans="2:5" ht="18.75">
      <c r="B7" t="s">
        <v>44</v>
      </c>
      <c r="C7" s="1">
        <f>C3*71.96%</f>
        <v>155005.25090399999</v>
      </c>
      <c r="D7" s="15"/>
      <c r="E7" s="7"/>
    </row>
    <row r="8" spans="2:5" ht="18.75" hidden="1">
      <c r="B8" s="11" t="s">
        <v>9</v>
      </c>
      <c r="C8" s="12">
        <v>0</v>
      </c>
      <c r="E8" s="7"/>
    </row>
    <row r="9" spans="2:5" ht="18.75">
      <c r="B9" s="2" t="s">
        <v>3</v>
      </c>
      <c r="C9" s="3">
        <f>SUM(C3:C8)</f>
        <v>402456.20290399995</v>
      </c>
      <c r="E9" s="7"/>
    </row>
    <row r="10" spans="2:5">
      <c r="B10" s="2"/>
      <c r="C10" s="3"/>
    </row>
    <row r="11" spans="2:5" s="4" customFormat="1" ht="18.75">
      <c r="B11" s="9" t="s">
        <v>70</v>
      </c>
      <c r="C11" s="10"/>
      <c r="D11" s="5"/>
      <c r="E11" s="7"/>
    </row>
    <row r="12" spans="2:5">
      <c r="B12" t="s">
        <v>63</v>
      </c>
      <c r="C12" s="36">
        <f>3125.34+7393.48+877.44</f>
        <v>11396.26</v>
      </c>
    </row>
    <row r="13" spans="2:5">
      <c r="B13" t="s">
        <v>51</v>
      </c>
      <c r="C13" s="36">
        <f>49.5+21.84+585.05+456.94</f>
        <v>1113.33</v>
      </c>
      <c r="D13" s="43"/>
    </row>
    <row r="14" spans="2:5">
      <c r="B14" t="s">
        <v>11</v>
      </c>
      <c r="C14" s="36">
        <v>9748.15</v>
      </c>
    </row>
    <row r="15" spans="2:5">
      <c r="B15" t="s">
        <v>13</v>
      </c>
      <c r="C15" s="36">
        <v>459.21</v>
      </c>
    </row>
    <row r="16" spans="2:5">
      <c r="B16" s="44" t="s">
        <v>50</v>
      </c>
      <c r="C16" s="36">
        <v>0</v>
      </c>
    </row>
    <row r="17" spans="2:7">
      <c r="B17" s="44" t="s">
        <v>52</v>
      </c>
      <c r="C17" s="36">
        <f>710.2+9705.27+724.5+517.5</f>
        <v>11657.470000000001</v>
      </c>
    </row>
    <row r="18" spans="2:7">
      <c r="B18" s="45" t="s">
        <v>12</v>
      </c>
      <c r="C18" s="36">
        <f>890+1055+1652.43</f>
        <v>3597.4300000000003</v>
      </c>
    </row>
    <row r="19" spans="2:7">
      <c r="B19" s="2" t="s">
        <v>3</v>
      </c>
      <c r="C19" s="3">
        <f>SUM(C12:C18)</f>
        <v>37971.85</v>
      </c>
    </row>
    <row r="20" spans="2:7">
      <c r="B20" s="2" t="s">
        <v>43</v>
      </c>
      <c r="C20" s="1">
        <f>C9+C19</f>
        <v>440428.05290399992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51" t="s">
        <v>5</v>
      </c>
      <c r="C22" s="55">
        <v>444</v>
      </c>
      <c r="D22" s="52">
        <f>C22/($C$22+$C$23+$C$24)</f>
        <v>0.25635103926096997</v>
      </c>
      <c r="E22" s="53">
        <f>(C9+C19)*D22</f>
        <v>112904.18908162584</v>
      </c>
    </row>
    <row r="23" spans="2:7">
      <c r="B23" s="51" t="s">
        <v>65</v>
      </c>
      <c r="C23" s="55">
        <v>115</v>
      </c>
      <c r="D23" s="52">
        <f>C23/($C$22+$C$23+$C$24)</f>
        <v>6.6397228637413389E-2</v>
      </c>
      <c r="E23" s="53">
        <f>(C10+C20)*D23</f>
        <v>29243.202126997683</v>
      </c>
    </row>
    <row r="24" spans="2:7">
      <c r="B24" s="37" t="s">
        <v>14</v>
      </c>
      <c r="C24" s="42">
        <v>1173</v>
      </c>
      <c r="D24" s="54">
        <f>C24/($C$22+$C$23+$C$24)</f>
        <v>0.6772517321016166</v>
      </c>
      <c r="E24" s="39">
        <f>(C9+C19)*D24</f>
        <v>298280.66169537639</v>
      </c>
      <c r="G24" t="s">
        <v>69</v>
      </c>
    </row>
    <row r="25" spans="2:7">
      <c r="C25" s="40"/>
      <c r="G25" s="57"/>
    </row>
    <row r="27" spans="2:7">
      <c r="B27" s="93" t="s">
        <v>45</v>
      </c>
      <c r="C27" s="93"/>
      <c r="D27" s="93"/>
      <c r="E27" s="93"/>
      <c r="G27" s="56"/>
    </row>
    <row r="28" spans="2:7">
      <c r="B28" s="92"/>
      <c r="C28" s="92"/>
      <c r="D28" s="92"/>
      <c r="E28" s="92"/>
    </row>
    <row r="29" spans="2:7">
      <c r="B29" s="92" t="s">
        <v>67</v>
      </c>
      <c r="C29" s="92"/>
      <c r="D29" s="92"/>
      <c r="E29" s="92"/>
    </row>
    <row r="30" spans="2:7">
      <c r="B30" s="92" t="s">
        <v>66</v>
      </c>
      <c r="C30" s="92"/>
      <c r="D30" s="92"/>
      <c r="E30" s="92"/>
    </row>
  </sheetData>
  <mergeCells count="4">
    <mergeCell ref="B27:E27"/>
    <mergeCell ref="B28:E28"/>
    <mergeCell ref="B29:E29"/>
    <mergeCell ref="B30:E30"/>
  </mergeCells>
  <hyperlinks>
    <hyperlink ref="B11" r:id="rId1" display="https://webmail-seguro.com.br/isgsaude.org/?_task=mail&amp;_mbox=INBOX" xr:uid="{00000000-0004-0000-0700-000000000000}"/>
  </hyperlinks>
  <pageMargins left="0.19685039370078741" right="0.19685039370078741" top="1.3779527559055118" bottom="0.19685039370078741" header="0.51181102362204722" footer="0.51181102362204722"/>
  <pageSetup paperSize="9" scale="71" orientation="portrait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D12"/>
  <sheetViews>
    <sheetView workbookViewId="0">
      <selection activeCell="B29" sqref="B29"/>
    </sheetView>
  </sheetViews>
  <sheetFormatPr defaultRowHeight="15.75"/>
  <cols>
    <col min="4" max="4" width="11.625" bestFit="1" customWidth="1"/>
  </cols>
  <sheetData>
    <row r="4" spans="2:4">
      <c r="B4" s="41">
        <v>428</v>
      </c>
      <c r="C4" s="17">
        <v>0.19805645534474781</v>
      </c>
      <c r="D4" s="8">
        <v>26468.667960566407</v>
      </c>
    </row>
    <row r="5" spans="2:4">
      <c r="B5" s="42">
        <v>544</v>
      </c>
      <c r="C5" s="38">
        <v>0.25173530772790376</v>
      </c>
      <c r="D5" s="39">
        <v>33642.419090065712</v>
      </c>
    </row>
    <row r="6" spans="2:4">
      <c r="B6" s="42">
        <v>1189</v>
      </c>
      <c r="C6" s="38">
        <v>0.55020823692734844</v>
      </c>
      <c r="D6" s="39">
        <v>73530.949077367884</v>
      </c>
    </row>
    <row r="10" spans="2:4">
      <c r="D10">
        <v>26468.67</v>
      </c>
    </row>
    <row r="11" spans="2:4">
      <c r="D11">
        <v>33642.42</v>
      </c>
    </row>
    <row r="12" spans="2:4">
      <c r="D12">
        <v>73530.95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4</vt:i4>
      </vt:variant>
    </vt:vector>
  </HeadingPairs>
  <TitlesOfParts>
    <vt:vector size="14" baseType="lpstr">
      <vt:lpstr>Rateio_RH</vt:lpstr>
      <vt:lpstr>Rateio_RH - 2018</vt:lpstr>
      <vt:lpstr>Rateio_RH - 2020 sem</vt:lpstr>
      <vt:lpstr>Rateio_RH - 2025 1</vt:lpstr>
      <vt:lpstr>Serv prestados </vt:lpstr>
      <vt:lpstr>Rateio_RH - 2024</vt:lpstr>
      <vt:lpstr>Estrutura</vt:lpstr>
      <vt:lpstr>Rateio_RH RPA</vt:lpstr>
      <vt:lpstr>Plan1</vt:lpstr>
      <vt:lpstr>Rateio_RH (2)</vt:lpstr>
      <vt:lpstr>Estrutura!Area_de_impressao</vt:lpstr>
      <vt:lpstr>'Rateio_RH - 2024'!Area_de_impressao</vt:lpstr>
      <vt:lpstr>'Rateio_RH - 2025 1'!Area_de_impressao</vt:lpstr>
      <vt:lpstr>'Serv prestados '!Area_de_impressao</vt:lpstr>
    </vt:vector>
  </TitlesOfParts>
  <Company>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Marcelo Alves</dc:creator>
  <cp:lastModifiedBy>Carlos Souza</cp:lastModifiedBy>
  <cp:lastPrinted>2025-06-10T14:40:12Z</cp:lastPrinted>
  <dcterms:created xsi:type="dcterms:W3CDTF">2013-11-27T14:40:30Z</dcterms:created>
  <dcterms:modified xsi:type="dcterms:W3CDTF">2025-07-02T14:07:50Z</dcterms:modified>
</cp:coreProperties>
</file>