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PRESTAÇÃO CONTAS\TRANSPARÊNCIA\HDT\2025\3. RATEIO\"/>
    </mc:Choice>
  </mc:AlternateContent>
  <xr:revisionPtr revIDLastSave="0" documentId="13_ncr:1_{28D236B0-B8CF-44C8-AB54-D520BAC181A5}" xr6:coauthVersionLast="47" xr6:coauthVersionMax="47" xr10:uidLastSave="{00000000-0000-0000-0000-000000000000}"/>
  <bookViews>
    <workbookView xWindow="22932" yWindow="-108" windowWidth="23256" windowHeight="12456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5 1" sheetId="8" r:id="rId4"/>
    <sheet name="Planilha2" sheetId="12" r:id="rId5"/>
    <sheet name="Planilha1" sheetId="11" r:id="rId6"/>
    <sheet name="Serv prestados " sheetId="9" r:id="rId7"/>
    <sheet name="Rateio_RH - 2024" sheetId="10" state="hidden" r:id="rId8"/>
    <sheet name="Estrutura" sheetId="2" r:id="rId9"/>
    <sheet name="Rateio_RH RPA" sheetId="5" state="hidden" r:id="rId10"/>
    <sheet name="Plan1" sheetId="3" state="hidden" r:id="rId11"/>
    <sheet name="Rateio_RH (2)" sheetId="4" state="hidden" r:id="rId12"/>
  </sheets>
  <definedNames>
    <definedName name="_xlnm._FilterDatabase" localSheetId="6" hidden="1">'Serv prestados '!$A$2:$F$2</definedName>
    <definedName name="_xlnm.Print_Area" localSheetId="8">Estrutura!$A$1:$B$34</definedName>
    <definedName name="_xlnm.Print_Area" localSheetId="7">'Rateio_RH - 2024'!$A$1:$E$32</definedName>
    <definedName name="_xlnm.Print_Area" localSheetId="3">'Rateio_RH - 2025 1'!$A$1:$E$32</definedName>
    <definedName name="_xlnm.Print_Area" localSheetId="6">'Serv prestados 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1" l="1"/>
  <c r="J15" i="11" s="1"/>
  <c r="J12" i="11"/>
  <c r="J11" i="11"/>
  <c r="C19" i="8"/>
  <c r="E11" i="9"/>
  <c r="E21" i="9" l="1"/>
  <c r="D22" i="8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11" i="8" s="1"/>
  <c r="C4" i="8"/>
  <c r="C19" i="10" l="1"/>
  <c r="C20" i="10" s="1"/>
  <c r="C6" i="8"/>
  <c r="C10" i="8" l="1"/>
  <c r="C9" i="8" s="1"/>
  <c r="B4" i="2" l="1"/>
  <c r="C17" i="8" l="1"/>
  <c r="D23" i="8" l="1"/>
  <c r="D24" i="8"/>
  <c r="D25" i="8"/>
  <c r="D26" i="8"/>
  <c r="D27" i="8"/>
  <c r="D28" i="8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 s="1"/>
  <c r="C9" i="5" l="1"/>
  <c r="C19" i="5"/>
  <c r="C18" i="1"/>
  <c r="C8" i="1"/>
  <c r="E21" i="1" s="1"/>
  <c r="C17" i="4"/>
  <c r="E21" i="4"/>
  <c r="E19" i="4"/>
  <c r="E20" i="4"/>
  <c r="E22" i="5"/>
  <c r="E24" i="5"/>
  <c r="C20" i="5"/>
  <c r="E23" i="5" s="1"/>
  <c r="E22" i="1"/>
  <c r="B27" i="2"/>
  <c r="C19" i="6"/>
  <c r="E23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<sst xmlns="http://schemas.openxmlformats.org/spreadsheetml/2006/main" count="320" uniqueCount="136">
  <si>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</si>
  <si>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</si>
  <si>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</si>
  <si>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</si>
  <si>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</si>
  <si>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</si>
  <si>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</si>
  <si>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</si>
  <si>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</si>
  <si>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</si>
  <si>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</si>
  <si>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</si>
  <si>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</si>
  <si>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</si>
  <si>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</si>
  <si>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</si>
  <si>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</si>
  <si>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</si>
  <si>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</si>
  <si>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</si>
  <si>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</si>
  <si>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</si>
  <si>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</si>
  <si>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</si>
  <si>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</si>
  <si>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</si>
  <si>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</si>
  <si>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</si>
  <si>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</si>
  <si>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</si>
  <si>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</si>
  <si>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</si>
  <si>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</si>
  <si>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</si>
  <si>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</si>
  <si>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</si>
  <si>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</si>
  <si>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</si>
  <si>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</si>
  <si>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</si>
  <si>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</si>
  <si>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</si>
  <si>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</si>
  <si>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</si>
  <si>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</si>
  <si>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</si>
  <si>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</si>
  <si>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</si>
  <si>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</si>
  <si>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</si>
  <si>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</si>
  <si>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</si>
  <si>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</si>
  <si>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</si>
  <si>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</si>
  <si>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</si>
  <si>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</si>
  <si>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</si>
  <si>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</si>
  <si>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</si>
  <si>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</si>
  <si>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</si>
  <si>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</si>
  <si>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</si>
  <si>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</si>
  <si>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</si>
  <si>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</si>
  <si>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</si>
  <si>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</si>
  <si>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</si>
  <si>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</si>
  <si>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</si>
  <si>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</si>
  <si>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</si>
  <si>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</si>
  <si>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</si>
  <si>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</si>
  <si>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</si>
  <si>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</si>
  <si>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</si>
  <si>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</si>
  <si>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</si>
  <si>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</si>
  <si>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</si>
  <si>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</si>
  <si>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</si>
  <si>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</si>
  <si>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</si>
  <si>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</si>
  <si>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</si>
  <si>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</si>
  <si>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</si>
  <si>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</si>
  <si>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</si>
  <si>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</si>
  <si>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</si>
  <si>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</si>
  <si>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</si>
  <si>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</si>
  <si>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</si>
  <si>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</si>
  <si>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</si>
  <si>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</si>
  <si>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</si>
  <si>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</si>
  <si>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</si>
  <si>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</si>
  <si>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</si>
  <si>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</si>
  <si>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</si>
  <si>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ICTS Global do Brasil</t>
  </si>
  <si>
    <t>serv de Consultoria em Comunicação</t>
  </si>
  <si>
    <t>Ernesto Stangueti</t>
  </si>
  <si>
    <t>ADVCOM</t>
  </si>
  <si>
    <t>Secure Service (caroline Gomes)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</si>
  <si>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</si>
  <si>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</si>
  <si>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</si>
  <si>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</si>
  <si>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</si>
  <si>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</si>
  <si>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</si>
  <si>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</si>
  <si>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</si>
  <si>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</si>
  <si>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CUSTOS PARA RATEIO CORPORATIVO -ABRIL 2025</t>
  </si>
  <si>
    <t>CUSTOS PARA RATEIO CORPORATIVO -AGOSTO 2025</t>
  </si>
  <si>
    <t>835</t>
  </si>
  <si>
    <t>11-12.</t>
  </si>
  <si>
    <t>Sotware oracle  - 5117</t>
  </si>
  <si>
    <t>PESSOAL E ENCARGOS</t>
  </si>
  <si>
    <t>R$</t>
  </si>
  <si>
    <t>CUSTEIO</t>
  </si>
  <si>
    <t>SERVIÇOS</t>
  </si>
  <si>
    <t>INVESTIMENTO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</si>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</sst>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b/>
      <sz val="6"/>
      <color rgb="FFFFFFFF"/>
      <name val="Arial"/>
      <family val="2"/>
    </font>
    <font>
      <sz val="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2F75B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Fill="1"/>
    <xf numFmtId="0" fontId="2" fillId="4" borderId="0" xfId="0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67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3" fillId="10" borderId="0" xfId="0" applyNumberFormat="1" applyFont="1" applyFill="1" applyAlignment="1">
      <alignment horizontal="center"/>
    </xf>
    <xf numFmtId="166" fontId="14" fillId="11" borderId="0" xfId="0" applyNumberFormat="1" applyFont="1" applyFill="1" applyAlignment="1">
      <alignment horizontal="center"/>
    </xf>
    <xf numFmtId="4" fontId="0" fillId="0" borderId="0" xfId="0" applyNumberFormat="1"/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" fontId="1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9" fillId="0" borderId="7" xfId="0" applyFont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right" vertical="center" wrapText="1"/>
    </xf>
    <xf numFmtId="0" fontId="18" fillId="12" borderId="3" xfId="0" applyFont="1" applyFill="1" applyBorder="1" applyAlignment="1">
      <alignment horizontal="left"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horizontal="right" vertical="center" wrapText="1"/>
    </xf>
    <xf numFmtId="43" fontId="0" fillId="0" borderId="0" xfId="9" applyFont="1"/>
    <xf numFmtId="8" fontId="19" fillId="0" borderId="6" xfId="0" applyNumberFormat="1" applyFont="1" applyBorder="1" applyAlignment="1">
      <alignment vertical="center" wrapText="1"/>
    </xf>
    <xf numFmtId="8" fontId="19" fillId="0" borderId="7" xfId="0" applyNumberFormat="1" applyFont="1" applyBorder="1" applyAlignment="1">
      <alignment vertical="center" wrapText="1"/>
    </xf>
    <xf numFmtId="43" fontId="0" fillId="0" borderId="0" xfId="0" applyNumberFormat="1"/>
    <xf numFmtId="8" fontId="19" fillId="0" borderId="7" xfId="0" applyNumberFormat="1" applyFont="1" applyBorder="1" applyAlignment="1">
      <alignment vertical="center" wrapText="1"/>
    </xf>
    <xf numFmtId="8" fontId="19" fillId="0" borderId="0" xfId="0" applyNumberFormat="1" applyFont="1" applyAlignment="1">
      <alignment vertical="center"/>
    </xf>
  </cellXfs>
  <cellStyles count="10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  <cellStyle name="Vírgula" xfId="9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43">
        <f>26842.61+230249.44</f>
        <v>257092.05</v>
      </c>
      <c r="E3" s="7"/>
    </row>
    <row r="4" spans="2:5" ht="18.75">
      <c r="B4" t="s">
        <v>15</v>
      </c>
      <c r="C4" s="33">
        <v>1387.75</v>
      </c>
      <c r="D4" s="36"/>
      <c r="E4" s="7"/>
    </row>
    <row r="5" spans="2:5" ht="18.75">
      <c r="B5" t="s">
        <v>16</v>
      </c>
      <c r="C5" s="33">
        <f>16733.18</f>
        <v>16733.18</v>
      </c>
      <c r="D5" s="36"/>
      <c r="E5" s="7"/>
    </row>
    <row r="6" spans="2:5" ht="18.75">
      <c r="B6" t="s">
        <v>44</v>
      </c>
      <c r="C6" s="1">
        <f>C3*71.96%</f>
        <v>185003.43917999996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29">
        <f>7492+877.44+3750.93</f>
        <v>12120.37</v>
      </c>
    </row>
    <row r="12" spans="2:5">
      <c r="B12" t="s">
        <v>51</v>
      </c>
      <c r="C12" s="29">
        <f>49.5+19.55+619.18+74.31</f>
        <v>762.54</v>
      </c>
      <c r="D12" s="36"/>
    </row>
    <row r="13" spans="2:5">
      <c r="B13" t="s">
        <v>11</v>
      </c>
      <c r="C13" s="29">
        <f>11775.01</f>
        <v>11775.01</v>
      </c>
    </row>
    <row r="14" spans="2:5">
      <c r="B14" t="s">
        <v>13</v>
      </c>
      <c r="C14" s="29">
        <v>459.21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756+9705.27+800+931.5</f>
        <v>12192.77</v>
      </c>
    </row>
    <row r="17" spans="2:7">
      <c r="B17" s="38" t="s">
        <v>12</v>
      </c>
      <c r="C17" s="29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443</v>
      </c>
      <c r="D21" s="44">
        <f>C21/($C$21+$C$22+$C$23)</f>
        <v>0.257109692396982</v>
      </c>
      <c r="E21" s="45">
        <f>(C8+C18)*D21</f>
        <v>128572.52227901334</v>
      </c>
    </row>
    <row r="22" spans="2:7">
      <c r="B22" t="s">
        <v>65</v>
      </c>
      <c r="C22" s="37">
        <v>121</v>
      </c>
      <c r="D22" s="44">
        <f>C22/($C$21+$C$22+$C$23)</f>
        <v>7.0226349390597798E-2</v>
      </c>
      <c r="E22" s="45">
        <f>(C8+C18)*D22</f>
        <v>35118.002699233897</v>
      </c>
    </row>
    <row r="23" spans="2:7">
      <c r="B23" s="30" t="s">
        <v>14</v>
      </c>
      <c r="C23" s="35">
        <v>1159</v>
      </c>
      <c r="D23" s="46">
        <f>C23/($C$21+$C$22+$C$23)</f>
        <v>0.6726639582124202</v>
      </c>
      <c r="E23" s="32">
        <f>(C8+C18)*D23</f>
        <v>336378.22420175275</v>
      </c>
    </row>
    <row r="24" spans="2:7">
      <c r="C24" s="33"/>
      <c r="G24" s="48"/>
    </row>
    <row r="26" spans="2:7">
      <c r="B26" s="80" t="s">
        <v>45</v>
      </c>
      <c r="C26" s="80"/>
      <c r="D26" s="80"/>
      <c r="E26" s="80"/>
      <c r="G26" s="47"/>
    </row>
    <row r="27" spans="2:7">
      <c r="B27" s="79"/>
      <c r="C27" s="79"/>
      <c r="D27" s="79"/>
      <c r="E27" s="79"/>
    </row>
    <row r="28" spans="2:7">
      <c r="B28" s="79" t="s">
        <v>67</v>
      </c>
      <c r="C28" s="79"/>
      <c r="D28" s="79"/>
      <c r="E28" s="79"/>
    </row>
    <row r="29" spans="2:7">
      <c r="B29" s="79" t="s">
        <v>66</v>
      </c>
      <c r="C29" s="79"/>
      <c r="D29" s="79"/>
      <c r="E29" s="79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43">
        <f>215404.74</f>
        <v>215404.74</v>
      </c>
      <c r="E3" s="7"/>
    </row>
    <row r="4" spans="2:5" ht="18.75">
      <c r="B4" t="s">
        <v>68</v>
      </c>
      <c r="C4" s="43">
        <f>17342.61*20%+17342.61</f>
        <v>20811.132000000001</v>
      </c>
      <c r="E4" s="7"/>
    </row>
    <row r="5" spans="2:5" ht="18.75">
      <c r="B5" t="s">
        <v>15</v>
      </c>
      <c r="C5" s="33">
        <v>465.08</v>
      </c>
      <c r="D5" s="36"/>
      <c r="E5" s="7"/>
    </row>
    <row r="6" spans="2:5" ht="18.75">
      <c r="B6" t="s">
        <v>16</v>
      </c>
      <c r="C6" s="33">
        <v>10770</v>
      </c>
      <c r="D6" s="36"/>
      <c r="E6" s="7"/>
    </row>
    <row r="7" spans="2:5" ht="18.75">
      <c r="B7" t="s">
        <v>44</v>
      </c>
      <c r="C7" s="1">
        <f>C3*71.96%</f>
        <v>155005.25090399999</v>
      </c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29">
        <f>3125.34+7393.48+877.44</f>
        <v>11396.26</v>
      </c>
    </row>
    <row r="13" spans="2:5">
      <c r="B13" t="s">
        <v>51</v>
      </c>
      <c r="C13" s="29">
        <f>49.5+21.84+585.05+456.94</f>
        <v>1113.33</v>
      </c>
      <c r="D13" s="36"/>
    </row>
    <row r="14" spans="2:5">
      <c r="B14" t="s">
        <v>11</v>
      </c>
      <c r="C14" s="29">
        <v>9748.15</v>
      </c>
    </row>
    <row r="15" spans="2:5">
      <c r="B15" t="s">
        <v>13</v>
      </c>
      <c r="C15" s="29">
        <v>459.21</v>
      </c>
    </row>
    <row r="16" spans="2:5">
      <c r="B16" s="37" t="s">
        <v>50</v>
      </c>
      <c r="C16" s="29">
        <v>0</v>
      </c>
    </row>
    <row r="17" spans="2:7">
      <c r="B17" s="37" t="s">
        <v>52</v>
      </c>
      <c r="C17" s="29">
        <f>710.2+9705.27+724.5+517.5</f>
        <v>11657.470000000001</v>
      </c>
    </row>
    <row r="18" spans="2:7">
      <c r="B18" s="38" t="s">
        <v>12</v>
      </c>
      <c r="C18" s="29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t="s">
        <v>5</v>
      </c>
      <c r="C22" s="37">
        <v>444</v>
      </c>
      <c r="D22" s="44">
        <f>C22/($C$22+$C$23+$C$24)</f>
        <v>0.25635103926096997</v>
      </c>
      <c r="E22" s="45">
        <f>(C9+C19)*D22</f>
        <v>112904.18908162584</v>
      </c>
    </row>
    <row r="23" spans="2:7">
      <c r="B23" t="s">
        <v>65</v>
      </c>
      <c r="C23" s="37">
        <v>115</v>
      </c>
      <c r="D23" s="44">
        <f>C23/($C$22+$C$23+$C$24)</f>
        <v>6.6397228637413389E-2</v>
      </c>
      <c r="E23" s="45">
        <f>(C10+C20)*D23</f>
        <v>29243.202126997683</v>
      </c>
    </row>
    <row r="24" spans="2:7">
      <c r="B24" s="30" t="s">
        <v>14</v>
      </c>
      <c r="C24" s="35">
        <v>1173</v>
      </c>
      <c r="D24" s="46">
        <f>C24/($C$22+$C$23+$C$24)</f>
        <v>0.6772517321016166</v>
      </c>
      <c r="E24" s="32">
        <f>(C9+C19)*D24</f>
        <v>298280.66169537639</v>
      </c>
      <c r="G24" t="s">
        <v>69</v>
      </c>
    </row>
    <row r="25" spans="2:7">
      <c r="C25" s="33"/>
      <c r="G25" s="48"/>
    </row>
    <row r="27" spans="2:7">
      <c r="B27" s="80" t="s">
        <v>45</v>
      </c>
      <c r="C27" s="80"/>
      <c r="D27" s="80"/>
      <c r="E27" s="80"/>
      <c r="G27" s="47"/>
    </row>
    <row r="28" spans="2:7">
      <c r="B28" s="79"/>
      <c r="C28" s="79"/>
      <c r="D28" s="79"/>
      <c r="E28" s="79"/>
    </row>
    <row r="29" spans="2:7">
      <c r="B29" s="79" t="s">
        <v>67</v>
      </c>
      <c r="C29" s="79"/>
      <c r="D29" s="79"/>
      <c r="E29" s="79"/>
    </row>
    <row r="30" spans="2:7">
      <c r="B30" s="79" t="s">
        <v>66</v>
      </c>
      <c r="C30" s="79"/>
      <c r="D30" s="79"/>
      <c r="E30" s="79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34">
        <v>428</v>
      </c>
      <c r="C4" s="16">
        <v>0.19805645534474781</v>
      </c>
      <c r="D4" s="8">
        <v>26468.667960566407</v>
      </c>
    </row>
    <row r="5" spans="2:4">
      <c r="B5" s="35">
        <v>544</v>
      </c>
      <c r="C5" s="31">
        <v>0.25173530772790376</v>
      </c>
      <c r="D5" s="32">
        <v>33642.419090065712</v>
      </c>
    </row>
    <row r="6" spans="2:4">
      <c r="B6" s="35">
        <v>1189</v>
      </c>
      <c r="C6" s="31">
        <v>0.55020823692734844</v>
      </c>
      <c r="D6" s="32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33">
        <v>138</v>
      </c>
      <c r="D4" s="36"/>
      <c r="E4" s="7"/>
    </row>
    <row r="5" spans="2:5" ht="18.75">
      <c r="B5" t="s">
        <v>16</v>
      </c>
      <c r="C5" s="33">
        <v>11737.5</v>
      </c>
      <c r="D5" s="36"/>
      <c r="E5" s="7"/>
    </row>
    <row r="6" spans="2:5" ht="18.75">
      <c r="B6" t="s">
        <v>44</v>
      </c>
      <c r="C6" s="1">
        <f>C3*71.96%</f>
        <v>47229.996127999992</v>
      </c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5">
        <f>4473.26+1025</f>
        <v>5498.26</v>
      </c>
    </row>
    <row r="12" spans="2:5">
      <c r="B12" t="s">
        <v>10</v>
      </c>
      <c r="C12" s="15">
        <f>109.08+20.13+133.11</f>
        <v>262.32000000000005</v>
      </c>
      <c r="D12" s="36"/>
    </row>
    <row r="13" spans="2:5">
      <c r="B13" t="s">
        <v>11</v>
      </c>
      <c r="C13" s="15">
        <f>2050+431.66+999.87</f>
        <v>3481.5299999999997</v>
      </c>
    </row>
    <row r="14" spans="2:5">
      <c r="B14" t="s">
        <v>13</v>
      </c>
      <c r="C14" s="29">
        <v>0</v>
      </c>
    </row>
    <row r="15" spans="2:5">
      <c r="B15" s="11" t="s">
        <v>12</v>
      </c>
      <c r="C15" s="15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34">
        <v>428</v>
      </c>
      <c r="D19" s="16">
        <f>C19/($C$19+$C$20+$C$21)</f>
        <v>0.19805645534474781</v>
      </c>
      <c r="E19" s="8">
        <f>(C8+C16)*D19</f>
        <v>2112.3552799629801</v>
      </c>
    </row>
    <row r="20" spans="2:5">
      <c r="B20" s="30" t="s">
        <v>6</v>
      </c>
      <c r="C20" s="35">
        <v>544</v>
      </c>
      <c r="D20" s="31">
        <f t="shared" ref="D20:D21" si="0">C20/($C$19+$C$20+$C$21)</f>
        <v>0.25173530772790376</v>
      </c>
      <c r="E20" s="32">
        <f>(C8+C16)*D20</f>
        <v>2684.8627857473393</v>
      </c>
    </row>
    <row r="21" spans="2:5">
      <c r="B21" s="30" t="s">
        <v>14</v>
      </c>
      <c r="C21" s="35">
        <v>1189</v>
      </c>
      <c r="D21" s="31">
        <f t="shared" si="0"/>
        <v>0.55020823692734844</v>
      </c>
      <c r="E21" s="32">
        <f>(C8+C16)*D21</f>
        <v>5868.201934289681</v>
      </c>
    </row>
    <row r="24" spans="2:5">
      <c r="B24" s="79" t="s">
        <v>45</v>
      </c>
      <c r="C24" s="79"/>
      <c r="D24" s="79"/>
      <c r="E24" s="79"/>
    </row>
    <row r="25" spans="2:5">
      <c r="B25" s="79"/>
      <c r="C25" s="79"/>
      <c r="D25" s="79"/>
      <c r="E25" s="79"/>
    </row>
    <row r="26" spans="2:5">
      <c r="B26" s="79" t="s">
        <v>46</v>
      </c>
      <c r="C26" s="79"/>
      <c r="D26" s="79"/>
      <c r="E26" s="79"/>
    </row>
    <row r="27" spans="2:5">
      <c r="B27" s="79" t="s">
        <v>47</v>
      </c>
      <c r="C27" s="79"/>
      <c r="D27" s="79"/>
      <c r="E27" s="79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43">
        <f>17342.61+53405.7+270153.7</f>
        <v>340902.01</v>
      </c>
      <c r="E3" s="7"/>
    </row>
    <row r="4" spans="2:5" ht="18.75">
      <c r="B4" t="s">
        <v>15</v>
      </c>
      <c r="C4" s="33">
        <f>1965.62</f>
        <v>1965.62</v>
      </c>
      <c r="D4" s="36"/>
      <c r="E4" s="7"/>
    </row>
    <row r="5" spans="2:5" ht="18.75">
      <c r="B5" t="s">
        <v>16</v>
      </c>
      <c r="C5" s="33">
        <v>18536</v>
      </c>
      <c r="D5" s="36"/>
      <c r="E5" s="7"/>
    </row>
    <row r="6" spans="2:5" ht="18.75">
      <c r="B6" t="s">
        <v>44</v>
      </c>
      <c r="C6" s="1">
        <f>C3*71.96%</f>
        <v>245313.08639599997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29">
        <f>879.19+3770.93+1959.4</f>
        <v>6609.52</v>
      </c>
    </row>
    <row r="12" spans="2:5">
      <c r="B12" t="s">
        <v>51</v>
      </c>
      <c r="C12" s="29">
        <f>51.48+852.51+23.99+808.3</f>
        <v>1736.28</v>
      </c>
      <c r="D12" s="36"/>
    </row>
    <row r="13" spans="2:5">
      <c r="B13" t="s">
        <v>11</v>
      </c>
      <c r="C13" s="29">
        <v>17171.060000000001</v>
      </c>
    </row>
    <row r="14" spans="2:5">
      <c r="B14" t="s">
        <v>13</v>
      </c>
      <c r="C14" s="29">
        <v>890.18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9705.27+800+756+1104+1276.5</f>
        <v>13641.77</v>
      </c>
    </row>
    <row r="17" spans="2:7">
      <c r="B17" s="38" t="s">
        <v>12</v>
      </c>
      <c r="C17" s="29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524</v>
      </c>
      <c r="D21" s="46">
        <f>C21/($C$21+$C$22+$C$25+$C$24+$C$23)</f>
        <v>0.17577993961757798</v>
      </c>
      <c r="E21" s="49">
        <f>(C8+C18)*D21</f>
        <v>114154.82494179939</v>
      </c>
    </row>
    <row r="22" spans="2:7">
      <c r="B22" t="s">
        <v>65</v>
      </c>
      <c r="C22" s="37">
        <v>127</v>
      </c>
      <c r="D22" s="46">
        <f t="shared" ref="D22:D25" si="0">C22/($C$21+$C$22+$C$25+$C$24+$C$23)</f>
        <v>4.2603153304260316E-2</v>
      </c>
      <c r="E22" s="49">
        <f>(C8+C18)*D22</f>
        <v>27667.295358031533</v>
      </c>
    </row>
    <row r="23" spans="2:7">
      <c r="B23" t="s">
        <v>72</v>
      </c>
      <c r="C23" s="37">
        <v>628</v>
      </c>
      <c r="D23" s="46">
        <f t="shared" si="0"/>
        <v>0.21066756122106675</v>
      </c>
      <c r="E23" s="49">
        <f>(C8+C18)*D23</f>
        <v>136811.50775467561</v>
      </c>
    </row>
    <row r="24" spans="2:7">
      <c r="B24" t="s">
        <v>71</v>
      </c>
      <c r="C24" s="37">
        <v>567</v>
      </c>
      <c r="D24" s="46">
        <f t="shared" si="0"/>
        <v>0.19020462931902046</v>
      </c>
      <c r="E24" s="49">
        <f>(C8+C18)*D24</f>
        <v>123522.49187404629</v>
      </c>
    </row>
    <row r="25" spans="2:7">
      <c r="B25" s="30" t="s">
        <v>14</v>
      </c>
      <c r="C25" s="35">
        <v>1135</v>
      </c>
      <c r="D25" s="46">
        <f t="shared" si="0"/>
        <v>0.38074471653807446</v>
      </c>
      <c r="E25" s="49">
        <f>(C8+C18)*D25</f>
        <v>247262.83646744717</v>
      </c>
      <c r="G25" s="48" t="s">
        <v>78</v>
      </c>
    </row>
    <row r="27" spans="2:7">
      <c r="B27" s="80" t="s">
        <v>45</v>
      </c>
      <c r="C27" s="80"/>
      <c r="D27" s="80"/>
      <c r="E27" s="80"/>
      <c r="G27" s="47"/>
    </row>
    <row r="28" spans="2:7">
      <c r="B28" s="79"/>
      <c r="C28" s="79"/>
      <c r="D28" s="79"/>
      <c r="E28" s="79"/>
    </row>
    <row r="29" spans="2:7">
      <c r="B29" s="79" t="s">
        <v>74</v>
      </c>
      <c r="C29" s="79"/>
      <c r="D29" s="79"/>
      <c r="E29" s="79"/>
    </row>
    <row r="30" spans="2:7">
      <c r="B30" s="79" t="s">
        <v>66</v>
      </c>
      <c r="C30" s="79"/>
      <c r="D30" s="79"/>
      <c r="E30" s="79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33">
        <v>450143.59</v>
      </c>
      <c r="E3" s="7"/>
    </row>
    <row r="4" spans="2:5" ht="18.75">
      <c r="B4" t="s">
        <v>15</v>
      </c>
      <c r="C4" s="33">
        <v>530.4</v>
      </c>
      <c r="D4" s="36"/>
      <c r="E4" s="7"/>
    </row>
    <row r="5" spans="2:5" ht="18.75">
      <c r="B5" t="s">
        <v>16</v>
      </c>
      <c r="C5" s="33">
        <v>22198.76</v>
      </c>
      <c r="D5" s="36"/>
      <c r="E5" s="7"/>
    </row>
    <row r="6" spans="2:5" ht="18.75">
      <c r="B6" t="s">
        <v>44</v>
      </c>
      <c r="C6" s="1">
        <f>C3*71.96%</f>
        <v>323923.32736399997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29">
        <f>640.46+5278+2336.11</f>
        <v>8254.57</v>
      </c>
    </row>
    <row r="12" spans="2:5">
      <c r="B12" t="s">
        <v>51</v>
      </c>
      <c r="C12" s="29">
        <f>94.13+7.16+143.73+170.28</f>
        <v>415.29999999999995</v>
      </c>
      <c r="D12" s="36"/>
    </row>
    <row r="13" spans="2:5">
      <c r="B13" t="s">
        <v>11</v>
      </c>
      <c r="C13" s="29">
        <f>18023.87</f>
        <v>18023.87</v>
      </c>
    </row>
    <row r="14" spans="2:5">
      <c r="B14" t="s">
        <v>13</v>
      </c>
      <c r="C14" s="29">
        <f>1313.79</f>
        <v>1313.79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v>0</v>
      </c>
    </row>
    <row r="17" spans="2:7">
      <c r="B17" s="38" t="s">
        <v>12</v>
      </c>
      <c r="C17" s="29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37" t="s">
        <v>5</v>
      </c>
      <c r="C21" s="37">
        <v>546</v>
      </c>
      <c r="D21" s="50">
        <f>C21/($C$21+$C$22+$C$27+$C$26+$C$23+$C$24+$C$25)</f>
        <v>0.14410134600158353</v>
      </c>
      <c r="E21" s="51">
        <f>(C8+C18)*D21</f>
        <v>119322.54853542993</v>
      </c>
    </row>
    <row r="22" spans="2:7">
      <c r="B22" s="37" t="s">
        <v>65</v>
      </c>
      <c r="C22" s="37">
        <v>129</v>
      </c>
      <c r="D22" s="50">
        <f t="shared" ref="D22:D27" si="0">C22/($C$21+$C$22+$C$27+$C$26+$C$23+$C$24+$C$25)</f>
        <v>3.4045922406967535E-2</v>
      </c>
      <c r="E22" s="51">
        <f>(C8+C18)*D22</f>
        <v>28191.591137491683</v>
      </c>
    </row>
    <row r="23" spans="2:7">
      <c r="B23" s="37" t="s">
        <v>72</v>
      </c>
      <c r="C23" s="37">
        <v>656</v>
      </c>
      <c r="D23" s="50">
        <f t="shared" si="0"/>
        <v>0.17313275270519926</v>
      </c>
      <c r="E23" s="51">
        <f>(C8+C18)*D23</f>
        <v>143361.88981546159</v>
      </c>
    </row>
    <row r="24" spans="2:7">
      <c r="B24" s="37" t="s">
        <v>76</v>
      </c>
      <c r="C24" s="37">
        <v>438</v>
      </c>
      <c r="D24" s="50">
        <f t="shared" si="0"/>
        <v>0.11559778305621536</v>
      </c>
      <c r="E24" s="51">
        <f>(C8+C18)*D24</f>
        <v>95720.286187762467</v>
      </c>
    </row>
    <row r="25" spans="2:7">
      <c r="B25" s="37" t="s">
        <v>77</v>
      </c>
      <c r="C25" s="37">
        <v>171</v>
      </c>
      <c r="D25" s="50">
        <f t="shared" si="0"/>
        <v>4.5130641330166268E-2</v>
      </c>
      <c r="E25" s="51">
        <f>(C8+C18)*D25</f>
        <v>37370.248717140137</v>
      </c>
    </row>
    <row r="26" spans="2:7">
      <c r="B26" t="s">
        <v>71</v>
      </c>
      <c r="C26" s="37">
        <v>671</v>
      </c>
      <c r="D26" s="50">
        <f t="shared" si="0"/>
        <v>0.17709158089205596</v>
      </c>
      <c r="E26" s="51">
        <f>(C8+C18)*D26</f>
        <v>146639.9818081932</v>
      </c>
    </row>
    <row r="27" spans="2:7">
      <c r="B27" s="35" t="s">
        <v>14</v>
      </c>
      <c r="C27" s="35">
        <v>1178</v>
      </c>
      <c r="D27" s="52">
        <f t="shared" si="0"/>
        <v>0.31089997360781207</v>
      </c>
      <c r="E27" s="53">
        <f>(C8+C18)*D27</f>
        <v>257439.49116252098</v>
      </c>
      <c r="G27" s="54"/>
    </row>
    <row r="29" spans="2:7">
      <c r="B29" s="80" t="s">
        <v>45</v>
      </c>
      <c r="C29" s="80"/>
      <c r="D29" s="80"/>
      <c r="E29" s="80"/>
      <c r="G29" s="47"/>
    </row>
    <row r="30" spans="2:7">
      <c r="B30" s="79"/>
      <c r="C30" s="79"/>
      <c r="D30" s="79"/>
      <c r="E30" s="79"/>
    </row>
    <row r="31" spans="2:7">
      <c r="B31" s="79" t="s">
        <v>79</v>
      </c>
      <c r="C31" s="79"/>
      <c r="D31" s="79"/>
      <c r="E31" s="79"/>
    </row>
    <row r="32" spans="2:7">
      <c r="B32" s="79" t="s">
        <v>80</v>
      </c>
      <c r="C32" s="79"/>
      <c r="D32" s="79"/>
      <c r="E32" s="79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zoomScale="85" zoomScaleNormal="85" zoomScalePageLayoutView="150" workbookViewId="0">
      <selection activeCell="E16" sqref="E16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126</v>
      </c>
      <c r="C2" s="10"/>
      <c r="D2" s="5"/>
      <c r="E2" s="7"/>
    </row>
    <row r="3" spans="2:5" ht="18.75">
      <c r="B3" t="s">
        <v>2</v>
      </c>
      <c r="C3" s="71">
        <v>998944.61</v>
      </c>
      <c r="E3" s="7"/>
    </row>
    <row r="4" spans="2:5" ht="18.75">
      <c r="B4" t="s">
        <v>124</v>
      </c>
      <c r="C4" s="1">
        <f>C3*37.05%</f>
        <v>370108.97800499998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1369053.588005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-AGOSTO 2025</v>
      </c>
      <c r="C8" s="10"/>
      <c r="D8" s="5"/>
      <c r="E8" s="7"/>
    </row>
    <row r="9" spans="2:5">
      <c r="B9" t="s">
        <v>63</v>
      </c>
      <c r="C9" s="29">
        <f>SUM(C10:C10)</f>
        <v>7191.8</v>
      </c>
    </row>
    <row r="10" spans="2:5" outlineLevel="1">
      <c r="B10" s="65" t="s">
        <v>91</v>
      </c>
      <c r="C10" s="66">
        <f>'Serv prestados '!E14</f>
        <v>7191.8</v>
      </c>
    </row>
    <row r="11" spans="2:5">
      <c r="B11" t="s">
        <v>51</v>
      </c>
      <c r="C11" s="29">
        <f>SUM(C12:C12)</f>
        <v>860.44</v>
      </c>
      <c r="D11" s="36"/>
    </row>
    <row r="12" spans="2:5" outlineLevel="1">
      <c r="B12" s="65" t="s">
        <v>92</v>
      </c>
      <c r="C12" s="66">
        <f>'Serv prestados '!E17+'Serv prestados '!E18+'Serv prestados '!E19+'Serv prestados '!E20</f>
        <v>860.44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'!E15</f>
        <v>20140</v>
      </c>
    </row>
    <row r="15" spans="2:5">
      <c r="B15" t="s">
        <v>13</v>
      </c>
      <c r="C15" s="29">
        <f>SUM(C16)</f>
        <v>3596.74</v>
      </c>
    </row>
    <row r="16" spans="2:5" outlineLevel="1">
      <c r="B16" s="65" t="s">
        <v>94</v>
      </c>
      <c r="C16" s="66">
        <f>'Serv prestados '!E16</f>
        <v>3596.74</v>
      </c>
    </row>
    <row r="17" spans="2:7">
      <c r="B17" s="37" t="s">
        <v>97</v>
      </c>
      <c r="C17" s="64">
        <f>'Serv prestados '!E11</f>
        <v>110933.54999999999</v>
      </c>
      <c r="E17" s="29"/>
    </row>
    <row r="18" spans="2:7" outlineLevel="1">
      <c r="B18" s="65" t="s">
        <v>95</v>
      </c>
      <c r="C18" s="66">
        <f>C17</f>
        <v>110933.54999999999</v>
      </c>
      <c r="E18" s="29"/>
    </row>
    <row r="19" spans="2:7">
      <c r="B19" s="2" t="s">
        <v>3</v>
      </c>
      <c r="C19" s="3">
        <f>C9+C11+C13+C15+C17</f>
        <v>142722.52999999997</v>
      </c>
    </row>
    <row r="20" spans="2:7">
      <c r="B20" s="2" t="s">
        <v>43</v>
      </c>
      <c r="C20" s="1">
        <f>C6+C19</f>
        <v>1511776.1180050001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35">
        <v>513</v>
      </c>
      <c r="D22" s="50">
        <f>C22/($C$22+$C$23+$C$26+$C$24+$C$25+$C$27+$C$28)</f>
        <v>0.15048401290701086</v>
      </c>
      <c r="E22" s="55">
        <f>(C6+C19)*D22</f>
        <v>227498.13685437519</v>
      </c>
    </row>
    <row r="23" spans="2:7">
      <c r="B23" s="35" t="s">
        <v>65</v>
      </c>
      <c r="C23" s="35">
        <v>124</v>
      </c>
      <c r="D23" s="50">
        <f t="shared" ref="D23:D28" si="0">C23/($C$22+$C$23+$C$26+$C$24+$C$25+$C$27+$C$28)</f>
        <v>3.6374303314755059E-2</v>
      </c>
      <c r="E23" s="55">
        <f>(C6+C19)*D23</f>
        <v>54989.803060316808</v>
      </c>
    </row>
    <row r="24" spans="2:7">
      <c r="B24" s="37" t="s">
        <v>72</v>
      </c>
      <c r="C24" s="37">
        <v>721</v>
      </c>
      <c r="D24" s="50">
        <f t="shared" si="0"/>
        <v>0.21149897330595482</v>
      </c>
      <c r="E24" s="51">
        <f>(C6+C19)*D24</f>
        <v>319739.09682651953</v>
      </c>
    </row>
    <row r="25" spans="2:7">
      <c r="B25" s="37" t="s">
        <v>77</v>
      </c>
      <c r="C25" s="37">
        <v>143</v>
      </c>
      <c r="D25" s="50">
        <f t="shared" si="0"/>
        <v>4.194778527427398E-2</v>
      </c>
      <c r="E25" s="51">
        <f>(C6+C19)*D25</f>
        <v>63415.659980849225</v>
      </c>
    </row>
    <row r="26" spans="2:7">
      <c r="B26" t="s">
        <v>71</v>
      </c>
      <c r="C26" s="37">
        <v>719</v>
      </c>
      <c r="D26" s="50">
        <f t="shared" si="0"/>
        <v>0.21091229099442652</v>
      </c>
      <c r="E26" s="51">
        <f>(C6+C19)*D26</f>
        <v>318852.16451909504</v>
      </c>
    </row>
    <row r="27" spans="2:7">
      <c r="B27" s="37" t="s">
        <v>82</v>
      </c>
      <c r="C27" s="37">
        <v>1081</v>
      </c>
      <c r="D27" s="50">
        <f t="shared" si="0"/>
        <v>0.31710178938105016</v>
      </c>
      <c r="E27" s="51">
        <f>(C6+C19)*D27</f>
        <v>479386.91216292314</v>
      </c>
    </row>
    <row r="28" spans="2:7">
      <c r="B28" s="37" t="s">
        <v>83</v>
      </c>
      <c r="C28" s="37">
        <v>108</v>
      </c>
      <c r="D28" s="50">
        <f t="shared" si="0"/>
        <v>3.16808448225286E-2</v>
      </c>
      <c r="E28" s="51">
        <f>(C6+C19)*D28</f>
        <v>47894.344600921089</v>
      </c>
      <c r="G28" s="2"/>
    </row>
    <row r="29" spans="2:7">
      <c r="B29" s="80" t="s">
        <v>45</v>
      </c>
      <c r="C29" s="80"/>
      <c r="D29" s="80"/>
      <c r="E29" s="80"/>
      <c r="G29" s="47"/>
    </row>
    <row r="30" spans="2:7">
      <c r="B30" s="79"/>
      <c r="C30" s="79"/>
      <c r="D30" s="79"/>
      <c r="E30" s="79"/>
    </row>
    <row r="31" spans="2:7">
      <c r="B31" s="79" t="s">
        <v>79</v>
      </c>
      <c r="C31" s="79"/>
      <c r="D31" s="79"/>
      <c r="E31" s="79"/>
    </row>
    <row r="32" spans="2:7">
      <c r="B32" s="79" t="s">
        <v>112</v>
      </c>
      <c r="C32" s="79"/>
      <c r="D32" s="79"/>
      <c r="E32" s="79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A79E-3F5D-4293-A91F-26E57A3E7FE5}">
  <dimension ref="A1"/>
  <sheetViews>
    <sheetView workbookViewId="0"/>
  </sheetViews>
  <sheetFormatPr defaultRowHeight="15.7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BD69-D2EF-4A24-B843-2B686929FA9C}">
  <dimension ref="G9:M15"/>
  <sheetViews>
    <sheetView workbookViewId="0">
      <selection activeCell="M10" sqref="M10:M14"/>
    </sheetView>
  </sheetViews>
  <sheetFormatPr defaultRowHeight="15.75"/>
  <cols>
    <col min="7" max="7" width="22.25" customWidth="1"/>
    <col min="8" max="8" width="2.125" bestFit="1" customWidth="1"/>
    <col min="10" max="10" width="13.75" bestFit="1" customWidth="1"/>
  </cols>
  <sheetData>
    <row r="9" spans="7:13" ht="16.5" thickBot="1"/>
    <row r="10" spans="7:13">
      <c r="G10" s="87" t="s">
        <v>130</v>
      </c>
      <c r="H10" s="89" t="s">
        <v>131</v>
      </c>
      <c r="I10" s="91">
        <v>1369053.59</v>
      </c>
      <c r="J10" s="93"/>
      <c r="M10" s="94">
        <v>206042.56</v>
      </c>
    </row>
    <row r="11" spans="7:13" ht="16.5" thickBot="1">
      <c r="G11" s="88"/>
      <c r="H11" s="90"/>
      <c r="I11" s="92"/>
      <c r="J11" s="93">
        <f>I10*15.05%</f>
        <v>206042.56529500001</v>
      </c>
      <c r="M11" s="95"/>
    </row>
    <row r="12" spans="7:13">
      <c r="G12" s="87" t="s">
        <v>132</v>
      </c>
      <c r="H12" s="89" t="s">
        <v>131</v>
      </c>
      <c r="I12" s="91">
        <v>31788.98</v>
      </c>
      <c r="J12" s="93">
        <f>I12*15.01%</f>
        <v>4771.5258979999999</v>
      </c>
      <c r="M12" s="98">
        <v>4771.53</v>
      </c>
    </row>
    <row r="13" spans="7:13" ht="16.5" thickBot="1">
      <c r="G13" s="88"/>
      <c r="H13" s="90"/>
      <c r="I13" s="92"/>
      <c r="J13" s="93"/>
      <c r="M13" s="97"/>
    </row>
    <row r="14" spans="7:13" ht="16.5" thickBot="1">
      <c r="G14" s="84" t="s">
        <v>133</v>
      </c>
      <c r="H14" s="85" t="s">
        <v>131</v>
      </c>
      <c r="I14" s="86">
        <v>110933.55</v>
      </c>
      <c r="J14" s="93">
        <f>I14*15.0397%</f>
        <v>16684.07311935</v>
      </c>
      <c r="M14" s="98">
        <v>16684.05</v>
      </c>
    </row>
    <row r="15" spans="7:13" ht="17.25" customHeight="1" thickBot="1">
      <c r="G15" s="84" t="s">
        <v>134</v>
      </c>
      <c r="H15" s="85" t="s">
        <v>131</v>
      </c>
      <c r="I15" s="83" t="s">
        <v>135</v>
      </c>
      <c r="J15" s="96">
        <f>SUM(J11:J14)</f>
        <v>227498.16431235001</v>
      </c>
      <c r="M15" s="97"/>
    </row>
  </sheetData>
  <mergeCells count="7">
    <mergeCell ref="M10:M11"/>
    <mergeCell ref="G10:G11"/>
    <mergeCell ref="H10:H11"/>
    <mergeCell ref="I10:I11"/>
    <mergeCell ref="G12:G13"/>
    <mergeCell ref="H12:H13"/>
    <mergeCell ref="I12:I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6"/>
  <sheetViews>
    <sheetView workbookViewId="0">
      <selection activeCell="F7" sqref="F7:F10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56" t="s">
        <v>84</v>
      </c>
      <c r="B2" s="56" t="s">
        <v>85</v>
      </c>
      <c r="C2" s="56" t="s">
        <v>86</v>
      </c>
      <c r="D2" s="56" t="s">
        <v>87</v>
      </c>
      <c r="E2" s="57" t="s">
        <v>88</v>
      </c>
      <c r="F2" s="57" t="s">
        <v>89</v>
      </c>
    </row>
    <row r="3" spans="1:7">
      <c r="A3" s="58" t="s">
        <v>100</v>
      </c>
      <c r="B3" s="67">
        <v>560</v>
      </c>
      <c r="C3" s="59" t="s">
        <v>101</v>
      </c>
      <c r="D3" s="58" t="s">
        <v>102</v>
      </c>
      <c r="E3" s="68">
        <v>36395.03</v>
      </c>
      <c r="F3" s="60">
        <v>45874</v>
      </c>
      <c r="G3" s="60"/>
    </row>
    <row r="4" spans="1:7">
      <c r="A4" s="77" t="s">
        <v>118</v>
      </c>
      <c r="B4" s="63">
        <v>883</v>
      </c>
      <c r="C4" s="77" t="s">
        <v>119</v>
      </c>
      <c r="D4" s="58" t="s">
        <v>102</v>
      </c>
      <c r="E4" s="76">
        <v>2535.36</v>
      </c>
      <c r="F4" s="60">
        <v>45869</v>
      </c>
      <c r="G4" s="60"/>
    </row>
    <row r="5" spans="1:7">
      <c r="A5" s="58" t="s">
        <v>122</v>
      </c>
      <c r="B5" s="62">
        <v>37</v>
      </c>
      <c r="C5" s="59" t="s">
        <v>123</v>
      </c>
      <c r="D5" s="58" t="s">
        <v>90</v>
      </c>
      <c r="E5" s="68">
        <v>8000</v>
      </c>
      <c r="F5" s="60">
        <v>45874</v>
      </c>
      <c r="G5" s="60"/>
    </row>
    <row r="6" spans="1:7">
      <c r="A6" s="59" t="s">
        <v>120</v>
      </c>
      <c r="B6" s="78">
        <v>25965</v>
      </c>
      <c r="C6" s="58" t="s">
        <v>121</v>
      </c>
      <c r="D6" s="58" t="s">
        <v>90</v>
      </c>
      <c r="E6" s="68">
        <v>3668.57</v>
      </c>
      <c r="F6" s="60">
        <v>45874</v>
      </c>
      <c r="G6" s="60"/>
    </row>
    <row r="7" spans="1:7">
      <c r="A7" s="58" t="s">
        <v>99</v>
      </c>
      <c r="B7" s="62">
        <v>10210</v>
      </c>
      <c r="C7" s="58" t="s">
        <v>117</v>
      </c>
      <c r="D7" s="58" t="s">
        <v>90</v>
      </c>
      <c r="E7" s="68">
        <v>19970</v>
      </c>
      <c r="F7" s="60">
        <v>45877</v>
      </c>
      <c r="G7" s="60"/>
    </row>
    <row r="8" spans="1:7">
      <c r="A8" s="59" t="s">
        <v>113</v>
      </c>
      <c r="B8" s="61" t="s">
        <v>127</v>
      </c>
      <c r="C8" s="59" t="s">
        <v>98</v>
      </c>
      <c r="D8" s="59" t="s">
        <v>90</v>
      </c>
      <c r="E8" s="68">
        <v>26500</v>
      </c>
      <c r="F8" s="60">
        <v>45877</v>
      </c>
      <c r="G8" s="60"/>
    </row>
    <row r="9" spans="1:7">
      <c r="A9" s="58" t="s">
        <v>96</v>
      </c>
      <c r="B9" s="63" t="s">
        <v>128</v>
      </c>
      <c r="C9" s="58" t="s">
        <v>129</v>
      </c>
      <c r="D9" s="58" t="s">
        <v>90</v>
      </c>
      <c r="E9" s="68">
        <v>9598.98</v>
      </c>
      <c r="F9" s="60">
        <v>45877</v>
      </c>
      <c r="G9" s="60"/>
    </row>
    <row r="10" spans="1:7">
      <c r="A10" s="58" t="s">
        <v>110</v>
      </c>
      <c r="B10" s="63">
        <v>72145</v>
      </c>
      <c r="C10" s="58" t="s">
        <v>111</v>
      </c>
      <c r="D10" s="59" t="s">
        <v>90</v>
      </c>
      <c r="E10" s="68">
        <v>4265.6099999999997</v>
      </c>
      <c r="F10" s="60">
        <v>45877</v>
      </c>
      <c r="G10" s="60"/>
    </row>
    <row r="11" spans="1:7" ht="16.5">
      <c r="A11" s="81" t="s">
        <v>109</v>
      </c>
      <c r="B11" s="81"/>
      <c r="C11" s="81"/>
      <c r="D11" s="81"/>
      <c r="E11" s="70">
        <f>SUM(E3:E10)</f>
        <v>110933.54999999999</v>
      </c>
      <c r="F11" s="69"/>
    </row>
    <row r="13" spans="1:7" ht="16.5">
      <c r="A13" s="56" t="s">
        <v>84</v>
      </c>
      <c r="B13" s="56" t="s">
        <v>85</v>
      </c>
      <c r="C13" s="56" t="s">
        <v>86</v>
      </c>
      <c r="D13" s="56" t="s">
        <v>87</v>
      </c>
      <c r="E13" s="57" t="s">
        <v>88</v>
      </c>
      <c r="F13" s="57" t="s">
        <v>89</v>
      </c>
    </row>
    <row r="14" spans="1:7">
      <c r="A14" s="58" t="s">
        <v>105</v>
      </c>
      <c r="B14" s="63">
        <v>8</v>
      </c>
      <c r="C14" s="59" t="s">
        <v>106</v>
      </c>
      <c r="D14" s="58" t="s">
        <v>90</v>
      </c>
      <c r="E14" s="68">
        <v>7191.8</v>
      </c>
      <c r="F14" s="60">
        <v>45874</v>
      </c>
      <c r="G14" s="60"/>
    </row>
    <row r="15" spans="1:7">
      <c r="A15" s="58" t="s">
        <v>114</v>
      </c>
      <c r="B15" s="67">
        <v>2313</v>
      </c>
      <c r="C15" s="59" t="s">
        <v>115</v>
      </c>
      <c r="D15" s="58" t="s">
        <v>90</v>
      </c>
      <c r="E15" s="68">
        <v>20140</v>
      </c>
      <c r="F15" s="60">
        <v>45874</v>
      </c>
      <c r="G15" s="60"/>
    </row>
    <row r="16" spans="1:7">
      <c r="A16" s="58" t="s">
        <v>107</v>
      </c>
      <c r="B16" s="67">
        <v>281921</v>
      </c>
      <c r="C16" s="59" t="s">
        <v>108</v>
      </c>
      <c r="D16" s="58" t="s">
        <v>90</v>
      </c>
      <c r="E16" s="76">
        <v>3596.74</v>
      </c>
      <c r="F16" s="60">
        <v>45875</v>
      </c>
      <c r="G16" s="60"/>
    </row>
    <row r="17" spans="1:7">
      <c r="A17" s="58" t="s">
        <v>103</v>
      </c>
      <c r="B17" s="63">
        <v>704950985</v>
      </c>
      <c r="C17" s="58" t="s">
        <v>104</v>
      </c>
      <c r="D17" s="59" t="s">
        <v>90</v>
      </c>
      <c r="E17" s="68">
        <v>200.82</v>
      </c>
      <c r="F17" s="60">
        <v>45882</v>
      </c>
      <c r="G17" s="60"/>
    </row>
    <row r="18" spans="1:7">
      <c r="A18" s="58" t="s">
        <v>103</v>
      </c>
      <c r="B18" s="63">
        <v>7049469491</v>
      </c>
      <c r="C18" s="58" t="s">
        <v>104</v>
      </c>
      <c r="D18" s="58" t="s">
        <v>90</v>
      </c>
      <c r="E18" s="68">
        <v>270.42</v>
      </c>
      <c r="F18" s="60">
        <v>45882</v>
      </c>
      <c r="G18" s="60"/>
    </row>
    <row r="19" spans="1:7">
      <c r="A19" s="59" t="s">
        <v>103</v>
      </c>
      <c r="B19" s="61">
        <v>7084546555</v>
      </c>
      <c r="C19" s="58" t="s">
        <v>104</v>
      </c>
      <c r="D19" s="58" t="s">
        <v>90</v>
      </c>
      <c r="E19" s="68">
        <v>226.02</v>
      </c>
      <c r="F19" s="60">
        <v>45882</v>
      </c>
      <c r="G19" s="60"/>
    </row>
    <row r="20" spans="1:7">
      <c r="A20" s="58" t="s">
        <v>103</v>
      </c>
      <c r="B20" s="61">
        <v>7087899203</v>
      </c>
      <c r="C20" s="58" t="s">
        <v>104</v>
      </c>
      <c r="D20" s="59" t="s">
        <v>90</v>
      </c>
      <c r="E20" s="68">
        <v>163.18</v>
      </c>
      <c r="F20" s="60">
        <v>45882</v>
      </c>
      <c r="G20" s="60"/>
    </row>
    <row r="21" spans="1:7" ht="16.5">
      <c r="A21" s="81" t="s">
        <v>109</v>
      </c>
      <c r="B21" s="81"/>
      <c r="C21" s="81"/>
      <c r="D21" s="81"/>
      <c r="E21" s="70">
        <f>SUM(E14:E20)</f>
        <v>31788.98</v>
      </c>
      <c r="F21" s="69"/>
    </row>
    <row r="23" spans="1:7">
      <c r="A23" s="79" t="s">
        <v>45</v>
      </c>
      <c r="B23" s="79"/>
      <c r="C23" s="79"/>
      <c r="D23" s="79"/>
      <c r="E23" s="79"/>
      <c r="F23" s="79"/>
    </row>
    <row r="25" spans="1:7">
      <c r="A25" s="79" t="s">
        <v>79</v>
      </c>
      <c r="B25" s="79"/>
      <c r="C25" s="79"/>
      <c r="D25" s="79"/>
      <c r="E25" s="79"/>
      <c r="F25" s="79"/>
    </row>
    <row r="26" spans="1:7">
      <c r="A26" s="82" t="s">
        <v>112</v>
      </c>
      <c r="B26" s="82"/>
      <c r="C26" s="82"/>
      <c r="D26" s="82"/>
      <c r="E26" s="82"/>
      <c r="F26" s="82"/>
    </row>
  </sheetData>
  <mergeCells count="5">
    <mergeCell ref="A11:D11"/>
    <mergeCell ref="A23:F23"/>
    <mergeCell ref="A25:F25"/>
    <mergeCell ref="A26:F26"/>
    <mergeCell ref="A21:D21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125</v>
      </c>
      <c r="C2" s="10"/>
      <c r="D2" s="5"/>
      <c r="E2" s="7"/>
    </row>
    <row r="3" spans="2:5" ht="18.75">
      <c r="B3" t="s">
        <v>2</v>
      </c>
      <c r="C3" s="71">
        <v>883803.7</v>
      </c>
      <c r="E3" s="7"/>
    </row>
    <row r="4" spans="2:5" ht="18.75">
      <c r="B4" t="s">
        <v>124</v>
      </c>
      <c r="C4" s="1">
        <f>C3*37.05%</f>
        <v>327449.27084999997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125</v>
      </c>
      <c r="C8" s="10"/>
      <c r="D8" s="5"/>
      <c r="E8" s="7"/>
    </row>
    <row r="9" spans="2:5">
      <c r="B9" t="s">
        <v>63</v>
      </c>
      <c r="C9" s="29">
        <f>SUM(C10:C10)</f>
        <v>7191.8</v>
      </c>
    </row>
    <row r="10" spans="2:5" outlineLevel="1">
      <c r="B10" s="65" t="s">
        <v>91</v>
      </c>
      <c r="C10" s="66">
        <f>'Serv prestados '!E14</f>
        <v>7191.8</v>
      </c>
    </row>
    <row r="11" spans="2:5">
      <c r="B11" t="s">
        <v>51</v>
      </c>
      <c r="C11" s="29">
        <f>SUM(C12:C12)</f>
        <v>860.44</v>
      </c>
      <c r="D11" s="36"/>
    </row>
    <row r="12" spans="2:5" outlineLevel="1">
      <c r="B12" s="65" t="s">
        <v>92</v>
      </c>
      <c r="C12" s="66">
        <f>'Serv prestados '!E17+'Serv prestados '!E18+'Serv prestados '!E19+'Serv prestados '!E20</f>
        <v>860.44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'!E15</f>
        <v>20140</v>
      </c>
    </row>
    <row r="15" spans="2:5">
      <c r="B15" t="s">
        <v>13</v>
      </c>
      <c r="C15" s="29">
        <f>SUM(C16)</f>
        <v>3596.74</v>
      </c>
    </row>
    <row r="16" spans="2:5" outlineLevel="1">
      <c r="B16" s="65" t="s">
        <v>94</v>
      </c>
      <c r="C16" s="66">
        <f>'Serv prestados '!E16</f>
        <v>3596.74</v>
      </c>
    </row>
    <row r="17" spans="2:7">
      <c r="B17" s="37" t="s">
        <v>97</v>
      </c>
      <c r="C17" s="64">
        <f>'Serv prestados '!E11</f>
        <v>110933.54999999999</v>
      </c>
      <c r="E17" s="29"/>
    </row>
    <row r="18" spans="2:7" outlineLevel="1">
      <c r="B18" s="65" t="s">
        <v>95</v>
      </c>
      <c r="C18" s="66">
        <f>C17</f>
        <v>110933.54999999999</v>
      </c>
      <c r="E18" s="29"/>
    </row>
    <row r="19" spans="2:7">
      <c r="B19" s="2" t="s">
        <v>3</v>
      </c>
      <c r="C19" s="3">
        <f>C9+C11+C13+C15+C17</f>
        <v>142722.52999999997</v>
      </c>
    </row>
    <row r="20" spans="2:7">
      <c r="B20" s="2" t="s">
        <v>43</v>
      </c>
      <c r="C20" s="1">
        <f>C6+C19</f>
        <v>1353975.50085</v>
      </c>
    </row>
    <row r="21" spans="2:7" ht="18.75">
      <c r="B21" s="75" t="s">
        <v>116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72">
        <v>9215643</v>
      </c>
      <c r="D22" s="50">
        <f>C22/($C$22+$C$23+$C$26+$C$24+$C$25+$C$27+$C$28)</f>
        <v>0.18837364190087569</v>
      </c>
      <c r="E22" s="55">
        <f>(C6+C19)*D22</f>
        <v>255053.29613967671</v>
      </c>
      <c r="G22" s="74">
        <f>E22-'Rateio_RH - 2025 1'!E22</f>
        <v>27555.159285301517</v>
      </c>
    </row>
    <row r="23" spans="2:7">
      <c r="B23" s="35" t="s">
        <v>65</v>
      </c>
      <c r="C23" s="72">
        <v>1879376</v>
      </c>
      <c r="D23" s="50">
        <f t="shared" ref="D23:D28" si="0">C23/($C$22+$C$23+$C$26+$C$24+$C$25+$C$27+$C$28)</f>
        <v>3.8415648438323853E-2</v>
      </c>
      <c r="E23" s="55">
        <f>(C6+C19)*D23</f>
        <v>52013.84683475706</v>
      </c>
      <c r="G23" s="74">
        <f>E23-'Rateio_RH - 2025 1'!E23</f>
        <v>-2975.9562255597484</v>
      </c>
    </row>
    <row r="24" spans="2:7">
      <c r="B24" s="37" t="s">
        <v>72</v>
      </c>
      <c r="C24" s="73">
        <v>10120512</v>
      </c>
      <c r="D24" s="50">
        <f t="shared" si="0"/>
        <v>0.20686974347221515</v>
      </c>
      <c r="E24" s="51">
        <f>(C6+C19)*D24</f>
        <v>280096.56452850351</v>
      </c>
      <c r="G24" s="74">
        <f>E24-'Rateio_RH - 2025 1'!E24</f>
        <v>-39642.532298016013</v>
      </c>
    </row>
    <row r="25" spans="2:7">
      <c r="B25" s="37" t="s">
        <v>77</v>
      </c>
      <c r="C25" s="73">
        <v>1499472</v>
      </c>
      <c r="D25" s="50">
        <f t="shared" si="0"/>
        <v>3.0650167499803309E-2</v>
      </c>
      <c r="E25" s="51">
        <f>(C6+C19)*D25</f>
        <v>41499.575891682573</v>
      </c>
      <c r="G25" s="74">
        <f>E25-'Rateio_RH - 2025 1'!E25</f>
        <v>-21916.084089166652</v>
      </c>
    </row>
    <row r="26" spans="2:7">
      <c r="B26" t="s">
        <v>71</v>
      </c>
      <c r="C26" s="73">
        <v>10187410</v>
      </c>
      <c r="D26" s="50">
        <f t="shared" si="0"/>
        <v>0.20823718141397188</v>
      </c>
      <c r="E26" s="51">
        <f>(C6+C19)*D26</f>
        <v>281948.04200057487</v>
      </c>
      <c r="G26" s="74">
        <f>E26-'Rateio_RH - 2025 1'!E26</f>
        <v>-36904.122518520162</v>
      </c>
    </row>
    <row r="27" spans="2:7">
      <c r="B27" s="37" t="s">
        <v>82</v>
      </c>
      <c r="C27" s="73">
        <v>14600648</v>
      </c>
      <c r="D27" s="50">
        <f t="shared" si="0"/>
        <v>0.29844659107050231</v>
      </c>
      <c r="E27" s="51">
        <f>(C6+C19)*D27</f>
        <v>404089.37262165849</v>
      </c>
      <c r="G27" s="74">
        <f>E27-'Rateio_RH - 2025 1'!E27</f>
        <v>-75297.539541264647</v>
      </c>
    </row>
    <row r="28" spans="2:7">
      <c r="B28" s="37" t="s">
        <v>83</v>
      </c>
      <c r="C28" s="73">
        <v>1419086</v>
      </c>
      <c r="D28" s="50">
        <f t="shared" si="0"/>
        <v>2.9007026204307836E-2</v>
      </c>
      <c r="E28" s="51">
        <f>(C6+C19)*D28</f>
        <v>39274.802833146772</v>
      </c>
      <c r="G28" s="74">
        <f>E28-'Rateio_RH - 2025 1'!E28</f>
        <v>-8619.5417677743171</v>
      </c>
    </row>
    <row r="29" spans="2:7">
      <c r="B29" s="80" t="s">
        <v>45</v>
      </c>
      <c r="C29" s="80"/>
      <c r="D29" s="80"/>
      <c r="E29" s="80"/>
      <c r="G29" s="47"/>
    </row>
    <row r="30" spans="2:7">
      <c r="B30" s="79"/>
      <c r="C30" s="79"/>
      <c r="D30" s="79"/>
      <c r="E30" s="79"/>
    </row>
    <row r="31" spans="2:7">
      <c r="B31" s="79" t="s">
        <v>79</v>
      </c>
      <c r="C31" s="79"/>
      <c r="D31" s="79"/>
      <c r="E31" s="79"/>
    </row>
    <row r="32" spans="2:7">
      <c r="B32" s="79" t="s">
        <v>112</v>
      </c>
      <c r="C32" s="79"/>
      <c r="D32" s="79"/>
      <c r="E32" s="79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80" t="s">
        <v>41</v>
      </c>
      <c r="B1" s="80"/>
    </row>
    <row r="2" spans="1:7">
      <c r="A2" s="23"/>
      <c r="B2" s="23"/>
    </row>
    <row r="3" spans="1:7">
      <c r="A3" s="20" t="s">
        <v>19</v>
      </c>
      <c r="B3" s="19" t="s">
        <v>40</v>
      </c>
      <c r="D3" s="20" t="s">
        <v>53</v>
      </c>
      <c r="E3" s="20" t="s">
        <v>57</v>
      </c>
      <c r="F3" s="39" t="s">
        <v>58</v>
      </c>
      <c r="G3" s="39" t="s">
        <v>59</v>
      </c>
    </row>
    <row r="4" spans="1:7">
      <c r="A4" s="24" t="s">
        <v>23</v>
      </c>
      <c r="B4" s="25">
        <f>SUM(B5:B9)</f>
        <v>0.08</v>
      </c>
      <c r="C4" s="17"/>
      <c r="D4" s="24" t="s">
        <v>54</v>
      </c>
      <c r="E4" s="24"/>
      <c r="F4" s="25"/>
      <c r="G4" s="25"/>
    </row>
    <row r="5" spans="1:7">
      <c r="A5" s="18" t="s">
        <v>18</v>
      </c>
      <c r="B5" s="21">
        <v>0</v>
      </c>
      <c r="D5" s="18" t="s">
        <v>55</v>
      </c>
      <c r="E5" s="18" t="s">
        <v>60</v>
      </c>
      <c r="F5" s="40">
        <v>11647</v>
      </c>
      <c r="G5" s="21" t="s">
        <v>61</v>
      </c>
    </row>
    <row r="6" spans="1:7">
      <c r="A6" s="18" t="s">
        <v>1</v>
      </c>
      <c r="B6" s="21">
        <v>0</v>
      </c>
      <c r="D6" s="18" t="s">
        <v>55</v>
      </c>
      <c r="E6" s="18"/>
      <c r="F6" s="40">
        <v>122</v>
      </c>
      <c r="G6" s="21" t="s">
        <v>62</v>
      </c>
    </row>
    <row r="7" spans="1:7">
      <c r="A7" s="18" t="s">
        <v>20</v>
      </c>
      <c r="B7" s="21">
        <v>0</v>
      </c>
      <c r="D7" s="18" t="s">
        <v>55</v>
      </c>
      <c r="E7" s="18"/>
      <c r="F7" s="40">
        <v>27</v>
      </c>
      <c r="G7" s="21" t="s">
        <v>62</v>
      </c>
    </row>
    <row r="8" spans="1:7">
      <c r="A8" s="18" t="s">
        <v>21</v>
      </c>
      <c r="B8" s="21">
        <v>0</v>
      </c>
      <c r="D8" s="18"/>
      <c r="E8" s="18"/>
      <c r="F8" s="40"/>
      <c r="G8" s="21"/>
    </row>
    <row r="9" spans="1:7">
      <c r="A9" s="18" t="s">
        <v>0</v>
      </c>
      <c r="B9" s="21">
        <v>0.08</v>
      </c>
      <c r="D9" s="20" t="s">
        <v>56</v>
      </c>
      <c r="E9" s="18"/>
      <c r="F9" s="42">
        <f>SUM(F5:F8)</f>
        <v>11796</v>
      </c>
      <c r="G9" s="21"/>
    </row>
    <row r="10" spans="1:7">
      <c r="A10" s="26" t="s">
        <v>22</v>
      </c>
      <c r="B10" s="27">
        <f>SUM(B11:B19)</f>
        <v>0.21209999999999998</v>
      </c>
      <c r="F10" s="41"/>
    </row>
    <row r="11" spans="1:7">
      <c r="A11" s="18" t="s">
        <v>42</v>
      </c>
      <c r="B11" s="21">
        <v>2.7799999999999998E-2</v>
      </c>
    </row>
    <row r="12" spans="1:7">
      <c r="A12" s="18" t="s">
        <v>24</v>
      </c>
      <c r="B12" s="21">
        <v>4.0000000000000002E-4</v>
      </c>
    </row>
    <row r="13" spans="1:7">
      <c r="A13" s="18" t="s">
        <v>25</v>
      </c>
      <c r="B13" s="21">
        <v>1E-4</v>
      </c>
    </row>
    <row r="14" spans="1:7">
      <c r="A14" s="18" t="s">
        <v>26</v>
      </c>
      <c r="B14" s="21">
        <v>2.0000000000000001E-4</v>
      </c>
    </row>
    <row r="15" spans="1:7">
      <c r="A15" s="18" t="s">
        <v>27</v>
      </c>
      <c r="B15" s="21">
        <v>8.3299999999999999E-2</v>
      </c>
    </row>
    <row r="16" spans="1:7">
      <c r="A16" s="18" t="s">
        <v>28</v>
      </c>
      <c r="B16" s="21">
        <v>8.3299999999999999E-2</v>
      </c>
    </row>
    <row r="17" spans="1:2">
      <c r="A17" s="18" t="s">
        <v>29</v>
      </c>
      <c r="B17" s="21">
        <v>1.3899999999999999E-2</v>
      </c>
    </row>
    <row r="18" spans="1:2">
      <c r="A18" s="18" t="s">
        <v>30</v>
      </c>
      <c r="B18" s="21">
        <v>2.8E-3</v>
      </c>
    </row>
    <row r="19" spans="1:2">
      <c r="A19" s="18" t="s">
        <v>31</v>
      </c>
      <c r="B19" s="21">
        <v>2.9999999999999997E-4</v>
      </c>
    </row>
    <row r="20" spans="1:2">
      <c r="A20" s="26" t="s">
        <v>32</v>
      </c>
      <c r="B20" s="27">
        <f>SUM(B21:B24)</f>
        <v>6.1399999999999996E-2</v>
      </c>
    </row>
    <row r="21" spans="1:2">
      <c r="A21" s="18" t="s">
        <v>33</v>
      </c>
      <c r="B21" s="21">
        <v>1.4999999999999999E-2</v>
      </c>
    </row>
    <row r="22" spans="1:2">
      <c r="A22" s="18" t="s">
        <v>34</v>
      </c>
      <c r="B22" s="21">
        <v>1.1000000000000001E-3</v>
      </c>
    </row>
    <row r="23" spans="1:2">
      <c r="A23" s="18" t="s">
        <v>35</v>
      </c>
      <c r="B23" s="21">
        <v>4.2000000000000003E-2</v>
      </c>
    </row>
    <row r="24" spans="1:2">
      <c r="A24" s="18" t="s">
        <v>36</v>
      </c>
      <c r="B24" s="21">
        <v>3.3E-3</v>
      </c>
    </row>
    <row r="25" spans="1:2">
      <c r="A25" s="20" t="s">
        <v>37</v>
      </c>
      <c r="B25" s="22">
        <f>B4*B10</f>
        <v>1.6968E-2</v>
      </c>
    </row>
    <row r="26" spans="1:2">
      <c r="A26" s="20" t="s">
        <v>38</v>
      </c>
      <c r="B26" s="21"/>
    </row>
    <row r="27" spans="1:2">
      <c r="A27" s="26" t="s">
        <v>39</v>
      </c>
      <c r="B27" s="27">
        <f>B4+B10+B20+B25</f>
        <v>0.37046799999999996</v>
      </c>
    </row>
    <row r="30" spans="1:2">
      <c r="A30" s="28" t="s">
        <v>45</v>
      </c>
    </row>
    <row r="32" spans="1:2">
      <c r="A32" s="28" t="s">
        <v>79</v>
      </c>
    </row>
    <row r="33" spans="1:1">
      <c r="A33" s="28" t="s">
        <v>112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4</vt:i4>
      </vt:variant>
    </vt:vector>
  </HeadingPairs>
  <TitlesOfParts>
    <vt:vector size="16" baseType="lpstr">
      <vt:lpstr>Rateio_RH</vt:lpstr>
      <vt:lpstr>Rateio_RH - 2018</vt:lpstr>
      <vt:lpstr>Rateio_RH - 2020 sem</vt:lpstr>
      <vt:lpstr>Rateio_RH - 2025 1</vt:lpstr>
      <vt:lpstr>Planilha2</vt:lpstr>
      <vt:lpstr>Planilha1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- 2025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Brecia Moreira Barros</cp:lastModifiedBy>
  <cp:lastPrinted>2025-08-29T18:09:04Z</cp:lastPrinted>
  <dcterms:created xsi:type="dcterms:W3CDTF">2013-11-27T14:40:30Z</dcterms:created>
  <dcterms:modified xsi:type="dcterms:W3CDTF">2025-09-09T12:11:50Z</dcterms:modified>
</cp:coreProperties>
</file>