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12. PRESTACAO DE CONTAS ANUAL DA PARCERIA\08. DESPESA ADMINISTRATIVA QUANDO OS E UNIDADE GERIDA GERIDA SE SITUAREM EM LOCALIDADES DIVERSAS\2026\07. JULHO\"/>
    </mc:Choice>
  </mc:AlternateContent>
  <xr:revisionPtr revIDLastSave="0" documentId="13_ncr:1_{74162779-47DD-49D8-A0B7-9B1D70B5294C}" xr6:coauthVersionLast="47" xr6:coauthVersionMax="47" xr10:uidLastSave="{00000000-0000-0000-0000-000000000000}"/>
  <bookViews>
    <workbookView xWindow="-120" yWindow="-120" windowWidth="29040" windowHeight="15720" tabRatio="500" firstSheet="3" activeTab="3" xr2:uid="{00000000-000D-0000-FFFF-FFFF00000000}"/>
  </bookViews>
  <sheets>
    <sheet name="Rateio_RH" sheetId="1" state="hidden" r:id="rId1"/>
    <sheet name="Rateio_RH - 2018" sheetId="7" state="hidden" r:id="rId2"/>
    <sheet name="Rateio_RH - 2020 sem" sheetId="6" state="hidden" r:id="rId3"/>
    <sheet name="Rateio_RH - 2026 1" sheetId="8" r:id="rId4"/>
    <sheet name="Serv prestados " sheetId="9" r:id="rId5"/>
    <sheet name="Rateio_RH - 2024" sheetId="10" state="hidden" r:id="rId6"/>
    <sheet name="Estrutura" sheetId="2" state="hidden" r:id="rId7"/>
    <sheet name="Rateio_RH RPA" sheetId="5" state="hidden" r:id="rId8"/>
    <sheet name="Plan1" sheetId="3" state="hidden" r:id="rId9"/>
    <sheet name="Rateio_RH (2)" sheetId="4" state="hidden" r:id="rId10"/>
  </sheets>
  <definedNames>
    <definedName name="_xlnm._FilterDatabase" localSheetId="4" hidden="1">'Serv prestados '!$A$2:$F$2</definedName>
    <definedName name="_xlnm.Print_Area" localSheetId="6">Estrutura!$A$1:$B$37</definedName>
    <definedName name="_xlnm.Print_Area" localSheetId="5">'Rateio_RH - 2024'!$A$1:$E$32</definedName>
    <definedName name="_xlnm.Print_Area" localSheetId="3">'Rateio_RH - 2026 1'!$A$1:$E$37</definedName>
    <definedName name="_xlnm.Print_Area" localSheetId="4">'Serv prestados '!$A$1:$F$25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" i="8" l="1"/>
  <c r="C11" i="8" s="1"/>
  <c r="E17" i="9"/>
  <c r="E7" i="9" l="1"/>
  <c r="D23" i="8" l="1"/>
  <c r="D24" i="8"/>
  <c r="D25" i="8"/>
  <c r="D26" i="8"/>
  <c r="D27" i="8"/>
  <c r="D28" i="8"/>
  <c r="D29" i="8"/>
  <c r="D22" i="8"/>
  <c r="D30" i="8" l="1"/>
  <c r="B8" i="8" l="1"/>
  <c r="C4" i="10" l="1"/>
  <c r="C6" i="10" s="1"/>
  <c r="C16" i="10"/>
  <c r="C15" i="10" s="1"/>
  <c r="C14" i="10"/>
  <c r="C13" i="10" s="1"/>
  <c r="C12" i="10"/>
  <c r="C11" i="10" s="1"/>
  <c r="C10" i="10"/>
  <c r="C9" i="10" s="1"/>
  <c r="C17" i="10"/>
  <c r="C18" i="10" s="1"/>
  <c r="C16" i="8"/>
  <c r="C14" i="8"/>
  <c r="C19" i="10" l="1"/>
  <c r="C20" i="10" s="1"/>
  <c r="C6" i="8"/>
  <c r="C10" i="8" l="1"/>
  <c r="C9" i="8" s="1"/>
  <c r="B4" i="2" l="1"/>
  <c r="C17" i="8" l="1"/>
  <c r="D28" i="10" l="1"/>
  <c r="D27" i="10"/>
  <c r="D26" i="10"/>
  <c r="D25" i="10"/>
  <c r="D24" i="10"/>
  <c r="D23" i="10"/>
  <c r="D22" i="10"/>
  <c r="E26" i="10" l="1"/>
  <c r="E23" i="10"/>
  <c r="E24" i="10"/>
  <c r="E28" i="10"/>
  <c r="E25" i="10"/>
  <c r="E22" i="10"/>
  <c r="E27" i="10"/>
  <c r="C13" i="8" l="1"/>
  <c r="C18" i="8" l="1"/>
  <c r="C15" i="8" l="1"/>
  <c r="C19" i="8" l="1"/>
  <c r="E22" i="8" l="1"/>
  <c r="E27" i="8"/>
  <c r="C17" i="6"/>
  <c r="C14" i="6"/>
  <c r="C13" i="6"/>
  <c r="C12" i="6"/>
  <c r="C11" i="6"/>
  <c r="D27" i="6"/>
  <c r="D26" i="6"/>
  <c r="D25" i="6"/>
  <c r="D24" i="6"/>
  <c r="D23" i="6"/>
  <c r="D22" i="6"/>
  <c r="D21" i="6"/>
  <c r="E29" i="8" l="1"/>
  <c r="G28" i="10" s="1"/>
  <c r="G27" i="10"/>
  <c r="E25" i="8"/>
  <c r="G25" i="10" s="1"/>
  <c r="E24" i="8"/>
  <c r="G24" i="10" s="1"/>
  <c r="E26" i="8"/>
  <c r="G26" i="10" s="1"/>
  <c r="E23" i="8"/>
  <c r="G22" i="10"/>
  <c r="C20" i="8"/>
  <c r="E28" i="8" s="1"/>
  <c r="C18" i="6"/>
  <c r="C6" i="6"/>
  <c r="C8" i="6" s="1"/>
  <c r="G23" i="10" l="1"/>
  <c r="E30" i="8"/>
  <c r="E25" i="6"/>
  <c r="E27" i="6"/>
  <c r="E22" i="6"/>
  <c r="E21" i="6"/>
  <c r="E26" i="6"/>
  <c r="E24" i="6"/>
  <c r="E23" i="6"/>
  <c r="C3" i="7"/>
  <c r="C16" i="7" l="1"/>
  <c r="C12" i="7"/>
  <c r="C11" i="7"/>
  <c r="C4" i="7"/>
  <c r="C17" i="7" l="1"/>
  <c r="C18" i="7" l="1"/>
  <c r="C6" i="7" l="1"/>
  <c r="C8" i="7" s="1"/>
  <c r="C19" i="7" s="1"/>
  <c r="C3" i="1" l="1"/>
  <c r="C5" i="1"/>
  <c r="C13" i="1"/>
  <c r="C16" i="1"/>
  <c r="C12" i="1"/>
  <c r="C11" i="1"/>
  <c r="D21" i="7"/>
  <c r="E21" i="7" s="1"/>
  <c r="C6" i="1"/>
  <c r="D22" i="1"/>
  <c r="D21" i="1"/>
  <c r="D25" i="7"/>
  <c r="E25" i="7" s="1"/>
  <c r="D24" i="7"/>
  <c r="E24" i="7" s="1"/>
  <c r="D23" i="7"/>
  <c r="E23" i="7" s="1"/>
  <c r="D22" i="7"/>
  <c r="E22" i="7" s="1"/>
  <c r="C17" i="1"/>
  <c r="C4" i="5"/>
  <c r="C9" i="5" s="1"/>
  <c r="C3" i="5"/>
  <c r="C7" i="5"/>
  <c r="C12" i="5"/>
  <c r="C13" i="5"/>
  <c r="C17" i="5"/>
  <c r="C18" i="5"/>
  <c r="D24" i="5"/>
  <c r="D23" i="5"/>
  <c r="D22" i="5"/>
  <c r="D23" i="1"/>
  <c r="F9" i="2"/>
  <c r="C13" i="4"/>
  <c r="C12" i="4"/>
  <c r="C11" i="4"/>
  <c r="C16" i="4" s="1"/>
  <c r="D21" i="4"/>
  <c r="D20" i="4"/>
  <c r="D19" i="4"/>
  <c r="C6" i="4"/>
  <c r="B20" i="2"/>
  <c r="B10" i="2"/>
  <c r="B25" i="2"/>
  <c r="C19" i="5" l="1"/>
  <c r="C18" i="1"/>
  <c r="C8" i="1"/>
  <c r="C17" i="4"/>
  <c r="E21" i="4"/>
  <c r="E19" i="4"/>
  <c r="E20" i="4"/>
  <c r="E22" i="5"/>
  <c r="E24" i="5"/>
  <c r="C20" i="5"/>
  <c r="E23" i="5" s="1"/>
  <c r="E22" i="1"/>
  <c r="E21" i="1"/>
  <c r="E23" i="1"/>
  <c r="B27" i="2"/>
  <c r="C19" i="6"/>
  <c r="C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1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1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  <author>Carlos Eduardo</author>
  </authors>
  <commentList>
    <comment ref="C3" authorId="0" shapeId="0" xr:uid="{00000000-0006-0000-02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2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  <comment ref="G27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Carlos Eduardo:</t>
        </r>
        <r>
          <rPr>
            <sz val="9"/>
            <color indexed="81"/>
            <rFont val="Tahoma"/>
            <family val="2"/>
          </rPr>
          <t xml:space="preserve">
REDUÇÃO DO RATEIO MEDIO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3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4" authorId="0" shapeId="0" xr:uid="{00000000-0006-0000-03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84A70C65-CB0D-4C51-852E-43D7D9BAE775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4" authorId="0" shapeId="0" xr:uid="{D220776C-0C0B-4B74-B49F-CAA41B4B140A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7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7" authorId="0" shapeId="0" xr:uid="{00000000-0006-0000-07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9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9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sharedStrings.xml><?xml version="1.0" encoding="utf-8"?>
<sst xmlns="http://schemas.openxmlformats.org/spreadsheetml/2006/main" count="302" uniqueCount="126">
  <si>
    <t>FGTS</t>
  </si>
  <si>
    <t>INSS</t>
  </si>
  <si>
    <t>SALÁRIO BRUTO</t>
  </si>
  <si>
    <t>TOTAL</t>
  </si>
  <si>
    <t>No. DE FUNCIONÁRIOS EM FOLHA</t>
  </si>
  <si>
    <t>HOSPITAL DE DOENÇAS TROPICAIS - GO</t>
  </si>
  <si>
    <t>HOSPITAL ESTADUAL ROBERTO CHABO - RJ</t>
  </si>
  <si>
    <t>RATEIO</t>
  </si>
  <si>
    <t>VALOR DESTINADO</t>
  </si>
  <si>
    <t>SUPERINTENDENTE TÉCNICO-CIENTÍFICO       (NF PESSOA JURÍDICA)</t>
  </si>
  <si>
    <t>LUZ</t>
  </si>
  <si>
    <t>TELEFONE FIXO</t>
  </si>
  <si>
    <t>INTERNET</t>
  </si>
  <si>
    <t>HOSPEDAGEM WEBSITE</t>
  </si>
  <si>
    <t>HOSPITAL ESTADUAL AZEVEDO LIMA - RJ</t>
  </si>
  <si>
    <t>VALE TRANSPORTE</t>
  </si>
  <si>
    <t>TICKET REFEIÇÃO</t>
  </si>
  <si>
    <t>ALUGUEL SEDE RJ</t>
  </si>
  <si>
    <t>RAT</t>
  </si>
  <si>
    <t>DESCRIÇÃO/GRUPO/FOLHA</t>
  </si>
  <si>
    <t>OUTRAS ENTIDADES</t>
  </si>
  <si>
    <t>PIS</t>
  </si>
  <si>
    <t>TOTAL GRUPO B (PROVISÕES)</t>
  </si>
  <si>
    <t>TOTAL GRUPO A (ENCARGOS)</t>
  </si>
  <si>
    <t>LICENÇA PATERNIDADE</t>
  </si>
  <si>
    <t>LICENÇA FUNERAL</t>
  </si>
  <si>
    <t>LICENÇA CASAMENTO</t>
  </si>
  <si>
    <t>13 SALARIO</t>
  </si>
  <si>
    <t>FÉRIAS</t>
  </si>
  <si>
    <t>AUXILIO DOENÇA</t>
  </si>
  <si>
    <t>FALTAS LEGAIS</t>
  </si>
  <si>
    <t>ACIDENTE DE TRABALHO</t>
  </si>
  <si>
    <t>TOTAL GRUPO C (PROVISÕES)</t>
  </si>
  <si>
    <t>AVISO PRÉVIO INDENIZADO</t>
  </si>
  <si>
    <t>AVISO PRÉVIO TRABALHADO</t>
  </si>
  <si>
    <t>FGTS RESCISÕES SEM JUSTA CAUSA</t>
  </si>
  <si>
    <t>INDENIZAÇÃO ADICIONAL</t>
  </si>
  <si>
    <t>TOTAL GRUPO D (incidência A s/ B)</t>
  </si>
  <si>
    <t>RESERVA TECNICA (PROVISÕES)</t>
  </si>
  <si>
    <t>TOTAL ENCARGOS</t>
  </si>
  <si>
    <t>%</t>
  </si>
  <si>
    <t>ESTRUTURA DE ENCARGOS SOCIAIS E TRABALHISTAS FOLHA</t>
  </si>
  <si>
    <t>ABONO FÉRIAS (1/3 s/ FÉRIAS)</t>
  </si>
  <si>
    <t>TOTAL GERAL</t>
  </si>
  <si>
    <t>TAXA DE ENCARGOS SOCIAIS E TRABALHISTAS (71,96%)</t>
  </si>
  <si>
    <t>Isg - Instituto Socrates Guanaes</t>
  </si>
  <si>
    <t>Gerente Financeiro</t>
  </si>
  <si>
    <t>Paulo Ismerio</t>
  </si>
  <si>
    <t>CUSTOS RH CORPORATIVO - JUNHO DE 2015</t>
  </si>
  <si>
    <t>CUSTOS ADMINISTRATIVOS SEDE RJ - Junho DE 2015</t>
  </si>
  <si>
    <t>DESPESAS ESTADIA E HOSPEDAGEM E TAXI</t>
  </si>
  <si>
    <t>LUZ e AGUA</t>
  </si>
  <si>
    <t>SERV PRESTADOR CONTABILIDADE E FOLHA ARQUIVO E ADV e LIMPEZA</t>
  </si>
  <si>
    <t>Protestos</t>
  </si>
  <si>
    <t>Fornecedor</t>
  </si>
  <si>
    <t>Air liquide</t>
  </si>
  <si>
    <t>Total</t>
  </si>
  <si>
    <t>Projeto onde protestado</t>
  </si>
  <si>
    <t>Valor</t>
  </si>
  <si>
    <t>Situação</t>
  </si>
  <si>
    <t>HDT</t>
  </si>
  <si>
    <t>Pago em processo de baixa</t>
  </si>
  <si>
    <t>a identificar unidade</t>
  </si>
  <si>
    <t>ALUGUEL SEDE</t>
  </si>
  <si>
    <t xml:space="preserve">Falta </t>
  </si>
  <si>
    <t>CONDOMINIO SOLIDARIEDADE - GO</t>
  </si>
  <si>
    <t>João Carlos Sampaio</t>
  </si>
  <si>
    <t>Superintendente Executivo</t>
  </si>
  <si>
    <t>RPA</t>
  </si>
  <si>
    <t>Recebido dia 12/01</t>
  </si>
  <si>
    <t>CUSTOS PARA RATEIO CORPORATIVO - JANEIRO 2018</t>
  </si>
  <si>
    <t>HOSPITAL REGIONAL JORGE ROSSMANN</t>
  </si>
  <si>
    <t>HOSPITAL SÃO JOSE DOS CAMPOS</t>
  </si>
  <si>
    <t>CUSTOS PARA RATEIO CORPORATIVO - MARÇO 2018</t>
  </si>
  <si>
    <t>Diretor Executivo</t>
  </si>
  <si>
    <t>CUSTOS PARA RATEIO CORPORATIVO - DEZEMBRO 2018</t>
  </si>
  <si>
    <t>HOSPITAL REGIONAL DE REGISTRO</t>
  </si>
  <si>
    <t>AME</t>
  </si>
  <si>
    <t>Recebido 16-01</t>
  </si>
  <si>
    <t>Diretor Financeiro</t>
  </si>
  <si>
    <t>Terencio Sant'Ana Costa</t>
  </si>
  <si>
    <t>CUSTOS PARA RATEIO CORPORATIVO -SETEMBRO 2020</t>
  </si>
  <si>
    <t>HOSPITAL LITORAL NORTE</t>
  </si>
  <si>
    <t>AME PARIQUERAÇU</t>
  </si>
  <si>
    <t>FORNECEDOR</t>
  </si>
  <si>
    <t>NF</t>
  </si>
  <si>
    <t xml:space="preserve">DESCRIÇÃO </t>
  </si>
  <si>
    <t>SUBCONTA</t>
  </si>
  <si>
    <t>VALOR</t>
  </si>
  <si>
    <t>VENCIMENTO</t>
  </si>
  <si>
    <t>Despesas Administrativas</t>
  </si>
  <si>
    <t>Aluguel Sede Salvador - Jose Ferreira</t>
  </si>
  <si>
    <t xml:space="preserve">Coelba Salas Salvador </t>
  </si>
  <si>
    <t xml:space="preserve">Secure Serviçe Grupo SST - Telefonia e Infraestrutura </t>
  </si>
  <si>
    <t>Locaweb - Serv de Hospedagem website dominio ISG</t>
  </si>
  <si>
    <t>Arquivo Anexo</t>
  </si>
  <si>
    <t>SERV PRESTADOS</t>
  </si>
  <si>
    <t>ALTBIT INFORMATICA COMERCIO E SERVICOS LTDA</t>
  </si>
  <si>
    <t>Despesas com Pessoal</t>
  </si>
  <si>
    <t>Coelba - sala nova - Coronel almerindo 1</t>
  </si>
  <si>
    <t xml:space="preserve">Energia Eletrica Salvador </t>
  </si>
  <si>
    <t>Locaweb</t>
  </si>
  <si>
    <t>Provedor Caixa de Email</t>
  </si>
  <si>
    <t xml:space="preserve">Total pago </t>
  </si>
  <si>
    <t>Ernesto Stangueti</t>
  </si>
  <si>
    <t>Telefonia Salvador SSTI</t>
  </si>
  <si>
    <t xml:space="preserve">VALOR CONTRATO DE GESTÃO </t>
  </si>
  <si>
    <t>LOCAÇÃO DE EQUIPAMENTOS – NOTEBOOKS/TVS</t>
  </si>
  <si>
    <t>Capital Humano</t>
  </si>
  <si>
    <t>Serv. Esp. Pessoa Jurídica RH/DP</t>
  </si>
  <si>
    <t>Clipping Service</t>
  </si>
  <si>
    <t>Assessoria Comunicação</t>
  </si>
  <si>
    <t>TAXA DE ENCARGOS SOCIAIS E TRABALHISTAS (37,05%)</t>
  </si>
  <si>
    <t>CUSTOS PARA RATEIO CORPORATIVO -ABRIL 2025</t>
  </si>
  <si>
    <t>GRUPO DE DESEN SOLU E GESTAO DA TECNOLOGIA DA INFORMACAO LTDA</t>
  </si>
  <si>
    <t>TOTAL GERAL Á SER RATEADO</t>
  </si>
  <si>
    <t>CALCULO DE PERCENTUAL DO RATEIO COM BASE NO NUMERO DE FUNCIONARIOS POR UNIDADE</t>
  </si>
  <si>
    <t>HOSPITAL REGIONAL CIRCUITO VALE HISTORICO DA FÉ</t>
  </si>
  <si>
    <t>Aluguel Salvador sala - sala nova</t>
  </si>
  <si>
    <t>IGM EMPR IMOBILIÁRIOS LTDA ( ITALO GOES MENEZES- ALUGUEL SALVADOR)</t>
  </si>
  <si>
    <t>408</t>
  </si>
  <si>
    <t>Visto da Auditoria</t>
  </si>
  <si>
    <t>________________</t>
  </si>
  <si>
    <t>CUSTOS PARA RATEIO CORPORATIVO -JULHO 2026</t>
  </si>
  <si>
    <t>SALÁRIO BRUTO (PROVENTOS)</t>
  </si>
  <si>
    <t>ENCARGOS SOCIAIS (FGTS)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</si>
</sst>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#,##0.00_);[Red]\(&quot;R$&quot;#,##0.00\)"/>
    <numFmt numFmtId="165" formatCode="_(&quot;R$&quot;* #,##0.00_);_(&quot;R$&quot;* \(#,##0.00\);_(&quot;R$&quot;* &quot;-&quot;??_);_(@_)"/>
    <numFmt numFmtId="166" formatCode="_-* #,##0.00_-;\-* #,##0.00_-;_-* &quot;-&quot;??_-;_-@"/>
    <numFmt numFmtId="167" formatCode="dd/mm/yy"/>
  </numFmts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color rgb="FF000000"/>
      <name val="Calibri"/>
      <family val="2"/>
      <charset val="136"/>
      <scheme val="minor"/>
    </font>
    <font>
      <b/>
      <sz val="9"/>
      <color indexed="81"/>
      <name val="Calibri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Book Antiqua"/>
      <family val="1"/>
    </font>
    <font>
      <sz val="9"/>
      <color rgb="FF000000"/>
      <name val="Book Antiqua"/>
      <family val="1"/>
    </font>
    <font>
      <b/>
      <sz val="12"/>
      <color rgb="FF000000"/>
      <name val="Book Antiqua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Book Antiqua"/>
      <family val="1"/>
    </font>
    <font>
      <b/>
      <sz val="13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 tint="-0.499984740745262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rgb="FFFFFFFF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3" fillId="0" borderId="0" xfId="2" applyFont="1" applyAlignment="1">
      <alignment horizontal="left" indent="1"/>
    </xf>
    <xf numFmtId="9" fontId="0" fillId="0" borderId="0" xfId="2" applyFont="1" applyAlignment="1">
      <alignment horizontal="left" indent="1"/>
    </xf>
    <xf numFmtId="164" fontId="3" fillId="0" borderId="0" xfId="1" applyNumberFormat="1" applyFont="1"/>
    <xf numFmtId="164" fontId="0" fillId="0" borderId="0" xfId="1" applyNumberFormat="1" applyFont="1"/>
    <xf numFmtId="0" fontId="4" fillId="0" borderId="1" xfId="0" applyFont="1" applyBorder="1"/>
    <xf numFmtId="164" fontId="3" fillId="0" borderId="1" xfId="0" applyNumberFormat="1" applyFon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9" fontId="2" fillId="0" borderId="1" xfId="2" applyFont="1" applyBorder="1" applyAlignment="1">
      <alignment horizontal="left" indent="1"/>
    </xf>
    <xf numFmtId="164" fontId="2" fillId="0" borderId="1" xfId="1" applyNumberFormat="1" applyFont="1" applyBorder="1" applyAlignment="1">
      <alignment horizontal="center"/>
    </xf>
    <xf numFmtId="164" fontId="7" fillId="0" borderId="0" xfId="0" applyNumberFormat="1" applyFont="1"/>
    <xf numFmtId="10" fontId="0" fillId="0" borderId="0" xfId="2" applyNumberFormat="1" applyFont="1" applyAlignment="1">
      <alignment horizont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/>
    <xf numFmtId="10" fontId="0" fillId="0" borderId="2" xfId="0" applyNumberFormat="1" applyBorder="1"/>
    <xf numFmtId="10" fontId="2" fillId="0" borderId="2" xfId="0" applyNumberFormat="1" applyFont="1" applyBorder="1"/>
    <xf numFmtId="0" fontId="2" fillId="0" borderId="0" xfId="0" applyFont="1" applyAlignment="1">
      <alignment horizontal="center"/>
    </xf>
    <xf numFmtId="0" fontId="2" fillId="2" borderId="2" xfId="0" applyFont="1" applyFill="1" applyBorder="1" applyProtection="1">
      <protection locked="0"/>
    </xf>
    <xf numFmtId="10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/>
    <xf numFmtId="10" fontId="2" fillId="2" borderId="2" xfId="0" applyNumberFormat="1" applyFont="1" applyFill="1" applyBorder="1"/>
    <xf numFmtId="0" fontId="0" fillId="0" borderId="0" xfId="0" applyAlignment="1">
      <alignment horizontal="center"/>
    </xf>
    <xf numFmtId="164" fontId="7" fillId="3" borderId="0" xfId="0" applyNumberFormat="1" applyFont="1" applyFill="1"/>
    <xf numFmtId="0" fontId="2" fillId="3" borderId="0" xfId="0" applyFont="1" applyFill="1"/>
    <xf numFmtId="10" fontId="2" fillId="3" borderId="0" xfId="2" applyNumberFormat="1" applyFont="1" applyFill="1" applyAlignment="1">
      <alignment horizontal="center"/>
    </xf>
    <xf numFmtId="164" fontId="9" fillId="3" borderId="0" xfId="1" applyNumberFormat="1" applyFont="1" applyFill="1"/>
    <xf numFmtId="164" fontId="0" fillId="3" borderId="0" xfId="0" applyNumberFormat="1" applyFill="1"/>
    <xf numFmtId="0" fontId="0" fillId="4" borderId="0" xfId="0" applyFill="1"/>
    <xf numFmtId="0" fontId="2" fillId="4" borderId="0" xfId="0" applyFont="1" applyFill="1"/>
    <xf numFmtId="9" fontId="0" fillId="3" borderId="0" xfId="2" applyFont="1" applyFill="1" applyAlignment="1">
      <alignment horizontal="left" inden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2" fillId="0" borderId="2" xfId="0" applyFont="1" applyBorder="1" applyAlignment="1">
      <alignment horizontal="center"/>
    </xf>
    <xf numFmtId="165" fontId="0" fillId="0" borderId="2" xfId="1" applyFont="1" applyBorder="1" applyAlignment="1"/>
    <xf numFmtId="165" fontId="0" fillId="0" borderId="0" xfId="1" applyFont="1"/>
    <xf numFmtId="165" fontId="2" fillId="0" borderId="2" xfId="1" applyFont="1" applyBorder="1" applyAlignment="1"/>
    <xf numFmtId="164" fontId="0" fillId="4" borderId="0" xfId="0" applyNumberFormat="1" applyFill="1"/>
    <xf numFmtId="10" fontId="1" fillId="0" borderId="0" xfId="2" applyNumberFormat="1" applyFont="1" applyAlignment="1">
      <alignment horizontal="center"/>
    </xf>
    <xf numFmtId="164" fontId="1" fillId="0" borderId="0" xfId="1" applyNumberFormat="1" applyFont="1"/>
    <xf numFmtId="10" fontId="2" fillId="0" borderId="0" xfId="2" applyNumberFormat="1" applyFont="1" applyAlignment="1">
      <alignment horizontal="center"/>
    </xf>
    <xf numFmtId="16" fontId="0" fillId="0" borderId="0" xfId="0" applyNumberFormat="1"/>
    <xf numFmtId="6" fontId="0" fillId="0" borderId="0" xfId="0" applyNumberFormat="1"/>
    <xf numFmtId="164" fontId="2" fillId="0" borderId="0" xfId="1" applyNumberFormat="1" applyFont="1"/>
    <xf numFmtId="10" fontId="1" fillId="3" borderId="0" xfId="2" applyNumberFormat="1" applyFont="1" applyFill="1" applyAlignment="1">
      <alignment horizontal="center"/>
    </xf>
    <xf numFmtId="164" fontId="1" fillId="3" borderId="0" xfId="1" applyNumberFormat="1" applyFont="1" applyFill="1"/>
    <xf numFmtId="10" fontId="2" fillId="4" borderId="0" xfId="2" applyNumberFormat="1" applyFont="1" applyFill="1" applyAlignment="1">
      <alignment horizontal="center"/>
    </xf>
    <xf numFmtId="164" fontId="9" fillId="4" borderId="0" xfId="1" applyNumberFormat="1" applyFont="1" applyFill="1"/>
    <xf numFmtId="164" fontId="2" fillId="3" borderId="0" xfId="0" applyNumberFormat="1" applyFont="1" applyFill="1"/>
    <xf numFmtId="164" fontId="2" fillId="4" borderId="0" xfId="1" applyNumberFormat="1" applyFont="1" applyFill="1"/>
    <xf numFmtId="0" fontId="12" fillId="5" borderId="0" xfId="0" applyFont="1" applyFill="1" applyAlignment="1">
      <alignment horizontal="center"/>
    </xf>
    <xf numFmtId="166" fontId="12" fillId="5" borderId="0" xfId="0" applyNumberFormat="1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167" fontId="13" fillId="3" borderId="0" xfId="0" applyNumberFormat="1" applyFont="1" applyFill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4" fontId="7" fillId="9" borderId="0" xfId="0" applyNumberFormat="1" applyFont="1" applyFill="1"/>
    <xf numFmtId="0" fontId="15" fillId="0" borderId="0" xfId="0" applyFont="1"/>
    <xf numFmtId="164" fontId="16" fillId="3" borderId="0" xfId="0" applyNumberFormat="1" applyFont="1" applyFill="1"/>
    <xf numFmtId="0" fontId="13" fillId="3" borderId="0" xfId="0" applyFont="1" applyFill="1" applyAlignment="1">
      <alignment horizontal="center"/>
    </xf>
    <xf numFmtId="166" fontId="13" fillId="6" borderId="0" xfId="0" applyNumberFormat="1" applyFont="1" applyFill="1" applyAlignment="1">
      <alignment horizontal="center"/>
    </xf>
    <xf numFmtId="166" fontId="13" fillId="10" borderId="0" xfId="0" applyNumberFormat="1" applyFont="1" applyFill="1" applyAlignment="1">
      <alignment horizontal="center"/>
    </xf>
    <xf numFmtId="166" fontId="14" fillId="11" borderId="0" xfId="0" applyNumberFormat="1" applyFont="1" applyFill="1" applyAlignment="1">
      <alignment horizontal="center"/>
    </xf>
    <xf numFmtId="4" fontId="0" fillId="0" borderId="0" xfId="0" applyNumberFormat="1"/>
    <xf numFmtId="165" fontId="2" fillId="4" borderId="0" xfId="1" applyFont="1" applyFill="1"/>
    <xf numFmtId="165" fontId="0" fillId="3" borderId="0" xfId="1" applyFont="1" applyFill="1"/>
    <xf numFmtId="8" fontId="0" fillId="0" borderId="0" xfId="0" applyNumberFormat="1"/>
    <xf numFmtId="0" fontId="3" fillId="0" borderId="1" xfId="0" applyFont="1" applyBorder="1"/>
    <xf numFmtId="166" fontId="13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left"/>
    </xf>
    <xf numFmtId="1" fontId="13" fillId="3" borderId="0" xfId="0" applyNumberFormat="1" applyFont="1" applyFill="1" applyAlignment="1">
      <alignment horizontal="center"/>
    </xf>
    <xf numFmtId="164" fontId="2" fillId="3" borderId="0" xfId="1" applyNumberFormat="1" applyFont="1" applyFill="1"/>
    <xf numFmtId="164" fontId="2" fillId="9" borderId="0" xfId="0" applyNumberFormat="1" applyFont="1" applyFill="1"/>
    <xf numFmtId="164" fontId="2" fillId="12" borderId="0" xfId="0" applyNumberFormat="1" applyFont="1" applyFill="1"/>
    <xf numFmtId="164" fontId="2" fillId="1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8" fillId="12" borderId="1" xfId="0" applyFont="1" applyFill="1" applyBorder="1" applyAlignment="1">
      <alignment horizontal="center" wrapText="1"/>
    </xf>
    <xf numFmtId="0" fontId="14" fillId="8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0">
    <cellStyle name="Hiperlink" xfId="3" builtinId="8" hidden="1"/>
    <cellStyle name="Hiperlink" xfId="5" builtinId="8" hidden="1"/>
    <cellStyle name="Hiperlink" xfId="7" builtinId="8" hidden="1"/>
    <cellStyle name="Hiperlink Visitado" xfId="4" builtinId="9" hidden="1"/>
    <cellStyle name="Hiperlink Visitado" xfId="6" builtinId="9" hidden="1"/>
    <cellStyle name="Hiperlink Visitado" xfId="8" builtinId="9" hidden="1"/>
    <cellStyle name="Moeda" xfId="1" builtinId="4"/>
    <cellStyle name="Moeda 2" xfId="9" xr:uid="{23B7CDD7-A7F5-4DEA-AED8-EE9654C70ADE}"/>
    <cellStyle name="Normal" xfId="0" builtinId="0"/>
    <cellStyle name="Porcentagem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mail-seguro.com.br/isgsaude.org/?_task=mail&amp;_mbox=INBOX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ebmail-seguro.com.br/isgsaude.org/?_task=mail&amp;_mbox=INBOX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ebmail-seguro.com.br/isgsaude.org/?_task=mail&amp;_mbox=INBOX" TargetMode="External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9"/>
  <sheetViews>
    <sheetView showGridLines="0" topLeftCell="A6" zoomScale="150" zoomScaleNormal="150" zoomScalePageLayoutView="150" workbookViewId="0">
      <selection activeCell="C3" sqref="C3:C19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</cols>
  <sheetData>
    <row r="2" spans="2:5" s="4" customFormat="1" ht="18.75">
      <c r="B2" s="9" t="s">
        <v>73</v>
      </c>
      <c r="C2" s="10"/>
      <c r="D2" s="5"/>
      <c r="E2" s="7"/>
    </row>
    <row r="3" spans="2:5" ht="18.75">
      <c r="B3" t="s">
        <v>2</v>
      </c>
      <c r="C3" s="43">
        <f>26842.61+230249.44</f>
        <v>257092.05</v>
      </c>
      <c r="E3" s="7"/>
    </row>
    <row r="4" spans="2:5" ht="18.75">
      <c r="B4" t="s">
        <v>15</v>
      </c>
      <c r="C4" s="33">
        <v>1387.75</v>
      </c>
      <c r="D4" s="36"/>
      <c r="E4" s="7"/>
    </row>
    <row r="5" spans="2:5" ht="18.75">
      <c r="B5" t="s">
        <v>16</v>
      </c>
      <c r="C5" s="33">
        <f>16733.18</f>
        <v>16733.18</v>
      </c>
      <c r="D5" s="36"/>
      <c r="E5" s="7"/>
    </row>
    <row r="6" spans="2:5" ht="18.75">
      <c r="B6" t="s">
        <v>44</v>
      </c>
      <c r="C6" s="1">
        <f>C3*71.96%</f>
        <v>185003.43917999996</v>
      </c>
      <c r="E6" s="7"/>
    </row>
    <row r="7" spans="2:5" ht="18.7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f>SUM(C3:C7)</f>
        <v>460216.41917999997</v>
      </c>
      <c r="E8" s="7"/>
    </row>
    <row r="9" spans="2:5">
      <c r="B9" s="2"/>
      <c r="C9" s="3"/>
    </row>
    <row r="10" spans="2:5" s="4" customFormat="1" ht="18.75">
      <c r="B10" s="9" t="s">
        <v>73</v>
      </c>
      <c r="C10" s="10"/>
      <c r="D10" s="5"/>
      <c r="E10" s="7"/>
    </row>
    <row r="11" spans="2:5">
      <c r="B11" t="s">
        <v>63</v>
      </c>
      <c r="C11" s="29">
        <f>7492+877.44+3750.93</f>
        <v>12120.37</v>
      </c>
    </row>
    <row r="12" spans="2:5">
      <c r="B12" t="s">
        <v>51</v>
      </c>
      <c r="C12" s="29">
        <f>49.5+19.55+619.18+74.31</f>
        <v>762.54</v>
      </c>
      <c r="D12" s="36"/>
    </row>
    <row r="13" spans="2:5">
      <c r="B13" t="s">
        <v>11</v>
      </c>
      <c r="C13" s="29">
        <f>11775.01</f>
        <v>11775.01</v>
      </c>
    </row>
    <row r="14" spans="2:5">
      <c r="B14" t="s">
        <v>13</v>
      </c>
      <c r="C14" s="29">
        <v>459.21</v>
      </c>
    </row>
    <row r="15" spans="2:5">
      <c r="B15" s="37" t="s">
        <v>50</v>
      </c>
      <c r="C15" s="29">
        <v>0</v>
      </c>
    </row>
    <row r="16" spans="2:5">
      <c r="B16" s="37" t="s">
        <v>52</v>
      </c>
      <c r="C16" s="29">
        <f>756+9705.27+800+931.5</f>
        <v>12192.77</v>
      </c>
    </row>
    <row r="17" spans="2:7">
      <c r="B17" s="38" t="s">
        <v>12</v>
      </c>
      <c r="C17" s="29">
        <f>890+1652.43</f>
        <v>2542.4300000000003</v>
      </c>
    </row>
    <row r="18" spans="2:7">
      <c r="B18" s="2" t="s">
        <v>3</v>
      </c>
      <c r="C18" s="3">
        <f>SUM(C11:C17)</f>
        <v>39852.329999999994</v>
      </c>
    </row>
    <row r="19" spans="2:7">
      <c r="B19" s="2" t="s">
        <v>43</v>
      </c>
      <c r="C19" s="1">
        <f>C8+C18</f>
        <v>500068.74917999998</v>
      </c>
    </row>
    <row r="20" spans="2:7" ht="18.75">
      <c r="B20" s="9" t="s">
        <v>4</v>
      </c>
      <c r="C20" s="12"/>
      <c r="D20" s="13" t="s">
        <v>7</v>
      </c>
      <c r="E20" s="14" t="s">
        <v>8</v>
      </c>
      <c r="F20" s="14" t="s">
        <v>64</v>
      </c>
    </row>
    <row r="21" spans="2:7">
      <c r="B21" t="s">
        <v>5</v>
      </c>
      <c r="C21" s="37">
        <v>443</v>
      </c>
      <c r="D21" s="44">
        <f>C21/($C$21+$C$22+$C$23)</f>
        <v>0.257109692396982</v>
      </c>
      <c r="E21" s="45">
        <f>(C8+C18)*D21</f>
        <v>128572.52227901334</v>
      </c>
    </row>
    <row r="22" spans="2:7">
      <c r="B22" t="s">
        <v>65</v>
      </c>
      <c r="C22" s="37">
        <v>121</v>
      </c>
      <c r="D22" s="44">
        <f>C22/($C$21+$C$22+$C$23)</f>
        <v>7.0226349390597798E-2</v>
      </c>
      <c r="E22" s="45">
        <f>(C8+C18)*D22</f>
        <v>35118.002699233897</v>
      </c>
    </row>
    <row r="23" spans="2:7">
      <c r="B23" s="30" t="s">
        <v>14</v>
      </c>
      <c r="C23" s="35">
        <v>1159</v>
      </c>
      <c r="D23" s="46">
        <f>C23/($C$21+$C$22+$C$23)</f>
        <v>0.6726639582124202</v>
      </c>
      <c r="E23" s="32">
        <f>(C8+C18)*D23</f>
        <v>336378.22420175275</v>
      </c>
    </row>
    <row r="24" spans="2:7">
      <c r="C24" s="33"/>
      <c r="G24" s="48"/>
    </row>
    <row r="26" spans="2:7">
      <c r="B26" s="84" t="s">
        <v>45</v>
      </c>
      <c r="C26" s="84"/>
      <c r="D26" s="84"/>
      <c r="E26" s="84"/>
      <c r="G26" s="47"/>
    </row>
    <row r="27" spans="2:7">
      <c r="B27" s="83"/>
      <c r="C27" s="83"/>
      <c r="D27" s="83"/>
      <c r="E27" s="83"/>
    </row>
    <row r="28" spans="2:7">
      <c r="B28" s="83" t="s">
        <v>67</v>
      </c>
      <c r="C28" s="83"/>
      <c r="D28" s="83"/>
      <c r="E28" s="83"/>
    </row>
    <row r="29" spans="2:7">
      <c r="B29" s="83" t="s">
        <v>66</v>
      </c>
      <c r="C29" s="83"/>
      <c r="D29" s="83"/>
      <c r="E29" s="83"/>
    </row>
  </sheetData>
  <mergeCells count="4">
    <mergeCell ref="B27:E27"/>
    <mergeCell ref="B26:E26"/>
    <mergeCell ref="B28:E28"/>
    <mergeCell ref="B29:E29"/>
  </mergeCells>
  <hyperlinks>
    <hyperlink ref="B10" r:id="rId1" display="https://webmail-seguro.com.br/isgsaude.org/?_task=mail&amp;_mbox=INBOX" xr:uid="{00000000-0004-0000-0000-000000000000}"/>
  </hyperlinks>
  <pageMargins left="0.19685039370078741" right="0.19685039370078741" top="1.3779527559055118" bottom="0.19685039370078741" header="0.51181102362204722" footer="0.51181102362204722"/>
  <pageSetup paperSize="9" scale="78" orientation="portrait" r:id="rId2"/>
  <ignoredErrors>
    <ignoredError sqref="C8" emptyCellReference="1"/>
  </ignoredErrors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27"/>
  <sheetViews>
    <sheetView showGridLines="0" topLeftCell="A5" zoomScale="150" zoomScaleNormal="150" zoomScalePageLayoutView="150" workbookViewId="0">
      <selection activeCell="E20" sqref="E20"/>
    </sheetView>
  </sheetViews>
  <sheetFormatPr defaultColWidth="11" defaultRowHeight="15.75"/>
  <cols>
    <col min="1" max="1" width="3.625" customWidth="1"/>
    <col min="2" max="2" width="46.875" customWidth="1"/>
    <col min="3" max="3" width="16.125" style="1" customWidth="1"/>
    <col min="4" max="4" width="10" style="6" customWidth="1"/>
    <col min="5" max="5" width="15.875" style="8" customWidth="1"/>
  </cols>
  <sheetData>
    <row r="2" spans="2:5" s="4" customFormat="1" ht="18.75">
      <c r="B2" s="9" t="s">
        <v>48</v>
      </c>
      <c r="C2" s="10"/>
      <c r="D2" s="5"/>
      <c r="E2" s="7"/>
    </row>
    <row r="3" spans="2:5" ht="18.75">
      <c r="B3" t="s">
        <v>2</v>
      </c>
      <c r="C3" s="1">
        <v>65633.679999999993</v>
      </c>
      <c r="E3" s="7"/>
    </row>
    <row r="4" spans="2:5" ht="18.75">
      <c r="B4" t="s">
        <v>15</v>
      </c>
      <c r="C4" s="33">
        <v>138</v>
      </c>
      <c r="D4" s="36"/>
      <c r="E4" s="7"/>
    </row>
    <row r="5" spans="2:5" ht="18.75">
      <c r="B5" t="s">
        <v>16</v>
      </c>
      <c r="C5" s="33">
        <v>11737.5</v>
      </c>
      <c r="D5" s="36"/>
      <c r="E5" s="7"/>
    </row>
    <row r="6" spans="2:5" ht="18.75">
      <c r="B6" t="s">
        <v>44</v>
      </c>
      <c r="C6" s="1">
        <f>C3*71.96%</f>
        <v>47229.996127999992</v>
      </c>
      <c r="E6" s="7"/>
    </row>
    <row r="7" spans="2:5" ht="32.2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v>0</v>
      </c>
      <c r="E8" s="7"/>
    </row>
    <row r="9" spans="2:5">
      <c r="B9" s="2"/>
      <c r="C9" s="3"/>
    </row>
    <row r="10" spans="2:5" s="4" customFormat="1" ht="18.75">
      <c r="B10" s="9" t="s">
        <v>49</v>
      </c>
      <c r="C10" s="10"/>
      <c r="D10" s="5"/>
      <c r="E10" s="7"/>
    </row>
    <row r="11" spans="2:5">
      <c r="B11" t="s">
        <v>17</v>
      </c>
      <c r="C11" s="15">
        <f>4473.26+1025</f>
        <v>5498.26</v>
      </c>
    </row>
    <row r="12" spans="2:5">
      <c r="B12" t="s">
        <v>10</v>
      </c>
      <c r="C12" s="15">
        <f>109.08+20.13+133.11</f>
        <v>262.32000000000005</v>
      </c>
      <c r="D12" s="36"/>
    </row>
    <row r="13" spans="2:5">
      <c r="B13" t="s">
        <v>11</v>
      </c>
      <c r="C13" s="15">
        <f>2050+431.66+999.87</f>
        <v>3481.5299999999997</v>
      </c>
    </row>
    <row r="14" spans="2:5">
      <c r="B14" t="s">
        <v>13</v>
      </c>
      <c r="C14" s="29">
        <v>0</v>
      </c>
    </row>
    <row r="15" spans="2:5">
      <c r="B15" s="11" t="s">
        <v>12</v>
      </c>
      <c r="C15" s="15">
        <v>1423.31</v>
      </c>
    </row>
    <row r="16" spans="2:5">
      <c r="B16" s="2" t="s">
        <v>3</v>
      </c>
      <c r="C16" s="3">
        <f>SUM(C11:C15)</f>
        <v>10665.42</v>
      </c>
    </row>
    <row r="17" spans="2:5">
      <c r="B17" s="2" t="s">
        <v>43</v>
      </c>
      <c r="C17" s="1">
        <f>C8+C16</f>
        <v>10665.42</v>
      </c>
    </row>
    <row r="18" spans="2:5" ht="18.75">
      <c r="B18" s="9" t="s">
        <v>4</v>
      </c>
      <c r="C18" s="12"/>
      <c r="D18" s="13" t="s">
        <v>7</v>
      </c>
      <c r="E18" s="14" t="s">
        <v>8</v>
      </c>
    </row>
    <row r="19" spans="2:5">
      <c r="B19" t="s">
        <v>5</v>
      </c>
      <c r="C19" s="34">
        <v>428</v>
      </c>
      <c r="D19" s="16">
        <f>C19/($C$19+$C$20+$C$21)</f>
        <v>0.19805645534474781</v>
      </c>
      <c r="E19" s="8">
        <f>(C8+C16)*D19</f>
        <v>2112.3552799629801</v>
      </c>
    </row>
    <row r="20" spans="2:5">
      <c r="B20" s="30" t="s">
        <v>6</v>
      </c>
      <c r="C20" s="35">
        <v>544</v>
      </c>
      <c r="D20" s="31">
        <f t="shared" ref="D20:D21" si="0">C20/($C$19+$C$20+$C$21)</f>
        <v>0.25173530772790376</v>
      </c>
      <c r="E20" s="32">
        <f>(C8+C16)*D20</f>
        <v>2684.8627857473393</v>
      </c>
    </row>
    <row r="21" spans="2:5">
      <c r="B21" s="30" t="s">
        <v>14</v>
      </c>
      <c r="C21" s="35">
        <v>1189</v>
      </c>
      <c r="D21" s="31">
        <f t="shared" si="0"/>
        <v>0.55020823692734844</v>
      </c>
      <c r="E21" s="32">
        <f>(C8+C16)*D21</f>
        <v>5868.201934289681</v>
      </c>
    </row>
    <row r="24" spans="2:5">
      <c r="B24" s="83" t="s">
        <v>45</v>
      </c>
      <c r="C24" s="83"/>
      <c r="D24" s="83"/>
      <c r="E24" s="83"/>
    </row>
    <row r="25" spans="2:5">
      <c r="B25" s="83"/>
      <c r="C25" s="83"/>
      <c r="D25" s="83"/>
      <c r="E25" s="83"/>
    </row>
    <row r="26" spans="2:5">
      <c r="B26" s="83" t="s">
        <v>46</v>
      </c>
      <c r="C26" s="83"/>
      <c r="D26" s="83"/>
      <c r="E26" s="83"/>
    </row>
    <row r="27" spans="2:5">
      <c r="B27" s="83" t="s">
        <v>47</v>
      </c>
      <c r="C27" s="83"/>
      <c r="D27" s="83"/>
      <c r="E27" s="83"/>
    </row>
  </sheetData>
  <mergeCells count="4">
    <mergeCell ref="B24:E24"/>
    <mergeCell ref="B25:E25"/>
    <mergeCell ref="B26:E26"/>
    <mergeCell ref="B27:E27"/>
  </mergeCells>
  <pageMargins left="0.31496062992125984" right="0.39370078740157483" top="0.98425196850393704" bottom="0.98425196850393704" header="0.51181102362204722" footer="0.51181102362204722"/>
  <pageSetup paperSize="9" scale="95" orientation="portrait" horizontalDpi="4294967292" vertic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30"/>
  <sheetViews>
    <sheetView showGridLines="0" topLeftCell="B1" zoomScale="150" zoomScaleNormal="150" zoomScalePageLayoutView="150" workbookViewId="0">
      <selection activeCell="B1" sqref="B1:G25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  <col min="7" max="7" width="13.125" customWidth="1"/>
  </cols>
  <sheetData>
    <row r="2" spans="2:5" s="4" customFormat="1" ht="18.75">
      <c r="B2" s="9" t="s">
        <v>75</v>
      </c>
      <c r="C2" s="10"/>
      <c r="D2" s="5"/>
      <c r="E2" s="7"/>
    </row>
    <row r="3" spans="2:5" ht="18.75">
      <c r="B3" t="s">
        <v>2</v>
      </c>
      <c r="C3" s="43">
        <f>17342.61+53405.7+270153.7</f>
        <v>340902.01</v>
      </c>
      <c r="E3" s="7"/>
    </row>
    <row r="4" spans="2:5" ht="18.75">
      <c r="B4" t="s">
        <v>15</v>
      </c>
      <c r="C4" s="33">
        <f>1965.62</f>
        <v>1965.62</v>
      </c>
      <c r="D4" s="36"/>
      <c r="E4" s="7"/>
    </row>
    <row r="5" spans="2:5" ht="18.75">
      <c r="B5" t="s">
        <v>16</v>
      </c>
      <c r="C5" s="33">
        <v>18536</v>
      </c>
      <c r="D5" s="36"/>
      <c r="E5" s="7"/>
    </row>
    <row r="6" spans="2:5" ht="18.75">
      <c r="B6" t="s">
        <v>44</v>
      </c>
      <c r="C6" s="1">
        <f>C3*71.96%</f>
        <v>245313.08639599997</v>
      </c>
      <c r="E6" s="7"/>
    </row>
    <row r="7" spans="2:5" ht="18.7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f>SUM(C3:C7)</f>
        <v>606716.716396</v>
      </c>
      <c r="E8" s="7"/>
    </row>
    <row r="9" spans="2:5">
      <c r="B9" s="2"/>
      <c r="C9" s="3"/>
    </row>
    <row r="10" spans="2:5" s="4" customFormat="1" ht="18.75">
      <c r="B10" s="9" t="s">
        <v>75</v>
      </c>
      <c r="C10" s="10"/>
      <c r="D10" s="5"/>
      <c r="E10" s="7"/>
    </row>
    <row r="11" spans="2:5">
      <c r="B11" t="s">
        <v>63</v>
      </c>
      <c r="C11" s="29">
        <f>879.19+3770.93+1959.4</f>
        <v>6609.52</v>
      </c>
    </row>
    <row r="12" spans="2:5">
      <c r="B12" t="s">
        <v>51</v>
      </c>
      <c r="C12" s="29">
        <f>51.48+852.51+23.99+808.3</f>
        <v>1736.28</v>
      </c>
      <c r="D12" s="36"/>
    </row>
    <row r="13" spans="2:5">
      <c r="B13" t="s">
        <v>11</v>
      </c>
      <c r="C13" s="29">
        <v>17171.060000000001</v>
      </c>
    </row>
    <row r="14" spans="2:5">
      <c r="B14" t="s">
        <v>13</v>
      </c>
      <c r="C14" s="29">
        <v>890.18</v>
      </c>
    </row>
    <row r="15" spans="2:5">
      <c r="B15" s="37" t="s">
        <v>50</v>
      </c>
      <c r="C15" s="29">
        <v>0</v>
      </c>
    </row>
    <row r="16" spans="2:5">
      <c r="B16" s="37" t="s">
        <v>52</v>
      </c>
      <c r="C16" s="29">
        <f>9705.27+800+756+1104+1276.5</f>
        <v>13641.77</v>
      </c>
    </row>
    <row r="17" spans="2:7">
      <c r="B17" s="38" t="s">
        <v>12</v>
      </c>
      <c r="C17" s="29">
        <f>1001+1652.43</f>
        <v>2653.4300000000003</v>
      </c>
    </row>
    <row r="18" spans="2:7">
      <c r="B18" s="2" t="s">
        <v>3</v>
      </c>
      <c r="C18" s="3">
        <f>SUM(C11:C17)</f>
        <v>42702.239999999998</v>
      </c>
    </row>
    <row r="19" spans="2:7">
      <c r="B19" s="2" t="s">
        <v>43</v>
      </c>
      <c r="C19" s="1">
        <f>C8+C18</f>
        <v>649418.95639599999</v>
      </c>
    </row>
    <row r="20" spans="2:7" ht="18.75">
      <c r="B20" s="9" t="s">
        <v>4</v>
      </c>
      <c r="C20" s="12"/>
      <c r="D20" s="13" t="s">
        <v>7</v>
      </c>
      <c r="E20" s="14" t="s">
        <v>8</v>
      </c>
      <c r="F20" s="14" t="s">
        <v>64</v>
      </c>
    </row>
    <row r="21" spans="2:7">
      <c r="B21" t="s">
        <v>5</v>
      </c>
      <c r="C21" s="37">
        <v>524</v>
      </c>
      <c r="D21" s="46">
        <f>C21/($C$21+$C$22+$C$25+$C$24+$C$23)</f>
        <v>0.17577993961757798</v>
      </c>
      <c r="E21" s="49">
        <f>(C8+C18)*D21</f>
        <v>114154.82494179939</v>
      </c>
    </row>
    <row r="22" spans="2:7">
      <c r="B22" t="s">
        <v>65</v>
      </c>
      <c r="C22" s="37">
        <v>127</v>
      </c>
      <c r="D22" s="46">
        <f t="shared" ref="D22:D25" si="0">C22/($C$21+$C$22+$C$25+$C$24+$C$23)</f>
        <v>4.2603153304260316E-2</v>
      </c>
      <c r="E22" s="49">
        <f>(C8+C18)*D22</f>
        <v>27667.295358031533</v>
      </c>
    </row>
    <row r="23" spans="2:7">
      <c r="B23" t="s">
        <v>72</v>
      </c>
      <c r="C23" s="37">
        <v>628</v>
      </c>
      <c r="D23" s="46">
        <f t="shared" si="0"/>
        <v>0.21066756122106675</v>
      </c>
      <c r="E23" s="49">
        <f>(C8+C18)*D23</f>
        <v>136811.50775467561</v>
      </c>
    </row>
    <row r="24" spans="2:7">
      <c r="B24" t="s">
        <v>71</v>
      </c>
      <c r="C24" s="37">
        <v>567</v>
      </c>
      <c r="D24" s="46">
        <f t="shared" si="0"/>
        <v>0.19020462931902046</v>
      </c>
      <c r="E24" s="49">
        <f>(C8+C18)*D24</f>
        <v>123522.49187404629</v>
      </c>
    </row>
    <row r="25" spans="2:7">
      <c r="B25" s="30" t="s">
        <v>14</v>
      </c>
      <c r="C25" s="35">
        <v>1135</v>
      </c>
      <c r="D25" s="46">
        <f t="shared" si="0"/>
        <v>0.38074471653807446</v>
      </c>
      <c r="E25" s="49">
        <f>(C8+C18)*D25</f>
        <v>247262.83646744717</v>
      </c>
      <c r="G25" s="48" t="s">
        <v>78</v>
      </c>
    </row>
    <row r="27" spans="2:7">
      <c r="B27" s="84" t="s">
        <v>45</v>
      </c>
      <c r="C27" s="84"/>
      <c r="D27" s="84"/>
      <c r="E27" s="84"/>
      <c r="G27" s="47"/>
    </row>
    <row r="28" spans="2:7">
      <c r="B28" s="83"/>
      <c r="C28" s="83"/>
      <c r="D28" s="83"/>
      <c r="E28" s="83"/>
    </row>
    <row r="29" spans="2:7">
      <c r="B29" s="83" t="s">
        <v>74</v>
      </c>
      <c r="C29" s="83"/>
      <c r="D29" s="83"/>
      <c r="E29" s="83"/>
    </row>
    <row r="30" spans="2:7">
      <c r="B30" s="83" t="s">
        <v>66</v>
      </c>
      <c r="C30" s="83"/>
      <c r="D30" s="83"/>
      <c r="E30" s="83"/>
    </row>
  </sheetData>
  <mergeCells count="4">
    <mergeCell ref="B27:E27"/>
    <mergeCell ref="B28:E28"/>
    <mergeCell ref="B29:E29"/>
    <mergeCell ref="B30:E30"/>
  </mergeCells>
  <hyperlinks>
    <hyperlink ref="B10" r:id="rId1" display="https://webmail-seguro.com.br/isgsaude.org/?_task=mail&amp;_mbox=INBOX" xr:uid="{00000000-0004-0000-0100-000000000000}"/>
  </hyperlinks>
  <pageMargins left="0.19685039370078741" right="0.19685039370078741" top="0.78740157480314965" bottom="0.19685039370078741" header="0.51181102362204722" footer="0.51181102362204722"/>
  <pageSetup paperSize="9" scale="76" fitToHeight="0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32"/>
  <sheetViews>
    <sheetView showGridLines="0" zoomScale="150" zoomScaleNormal="150" zoomScalePageLayoutView="150" workbookViewId="0">
      <selection activeCell="D4" sqref="D4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  <col min="7" max="7" width="12.125" bestFit="1" customWidth="1"/>
  </cols>
  <sheetData>
    <row r="2" spans="2:5" s="4" customFormat="1" ht="18.75">
      <c r="B2" s="9" t="s">
        <v>81</v>
      </c>
      <c r="C2" s="10"/>
      <c r="D2" s="5"/>
      <c r="E2" s="7"/>
    </row>
    <row r="3" spans="2:5" ht="18.75">
      <c r="B3" t="s">
        <v>2</v>
      </c>
      <c r="C3" s="33">
        <v>450143.59</v>
      </c>
      <c r="E3" s="7"/>
    </row>
    <row r="4" spans="2:5" ht="18.75">
      <c r="B4" t="s">
        <v>15</v>
      </c>
      <c r="C4" s="33">
        <v>530.4</v>
      </c>
      <c r="D4" s="36"/>
      <c r="E4" s="7"/>
    </row>
    <row r="5" spans="2:5" ht="18.75">
      <c r="B5" t="s">
        <v>16</v>
      </c>
      <c r="C5" s="33">
        <v>22198.76</v>
      </c>
      <c r="D5" s="36"/>
      <c r="E5" s="7"/>
    </row>
    <row r="6" spans="2:5" ht="18.75">
      <c r="B6" t="s">
        <v>44</v>
      </c>
      <c r="C6" s="1">
        <f>C3*71.96%</f>
        <v>323923.32736399997</v>
      </c>
      <c r="E6" s="7"/>
    </row>
    <row r="7" spans="2:5" ht="18.7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f>SUM(C3:C7)</f>
        <v>796796.07736400003</v>
      </c>
      <c r="E8" s="7"/>
    </row>
    <row r="9" spans="2:5">
      <c r="B9" s="2"/>
      <c r="C9" s="3"/>
    </row>
    <row r="10" spans="2:5" s="4" customFormat="1" ht="18.75">
      <c r="B10" s="9" t="s">
        <v>81</v>
      </c>
      <c r="C10" s="10"/>
      <c r="D10" s="5"/>
      <c r="E10" s="7"/>
    </row>
    <row r="11" spans="2:5">
      <c r="B11" t="s">
        <v>63</v>
      </c>
      <c r="C11" s="29">
        <f>640.46+5278+2336.11</f>
        <v>8254.57</v>
      </c>
    </row>
    <row r="12" spans="2:5">
      <c r="B12" t="s">
        <v>51</v>
      </c>
      <c r="C12" s="29">
        <f>94.13+7.16+143.73+170.28</f>
        <v>415.29999999999995</v>
      </c>
      <c r="D12" s="36"/>
    </row>
    <row r="13" spans="2:5">
      <c r="B13" t="s">
        <v>11</v>
      </c>
      <c r="C13" s="29">
        <f>18023.87</f>
        <v>18023.87</v>
      </c>
    </row>
    <row r="14" spans="2:5">
      <c r="B14" t="s">
        <v>13</v>
      </c>
      <c r="C14" s="29">
        <f>1313.79</f>
        <v>1313.79</v>
      </c>
    </row>
    <row r="15" spans="2:5">
      <c r="B15" s="37" t="s">
        <v>50</v>
      </c>
      <c r="C15" s="29">
        <v>0</v>
      </c>
    </row>
    <row r="16" spans="2:5">
      <c r="B16" s="37" t="s">
        <v>52</v>
      </c>
      <c r="C16" s="29">
        <v>0</v>
      </c>
    </row>
    <row r="17" spans="2:7">
      <c r="B17" s="38" t="s">
        <v>12</v>
      </c>
      <c r="C17" s="29">
        <f>1590+1652.43</f>
        <v>3242.4300000000003</v>
      </c>
    </row>
    <row r="18" spans="2:7">
      <c r="B18" s="2" t="s">
        <v>3</v>
      </c>
      <c r="C18" s="3">
        <f>SUM(C11:C17)</f>
        <v>31249.96</v>
      </c>
    </row>
    <row r="19" spans="2:7">
      <c r="B19" s="2" t="s">
        <v>43</v>
      </c>
      <c r="C19" s="1">
        <f>C8+C18</f>
        <v>828046.03736399999</v>
      </c>
    </row>
    <row r="20" spans="2:7" ht="18.75">
      <c r="B20" s="9" t="s">
        <v>4</v>
      </c>
      <c r="C20" s="12"/>
      <c r="D20" s="13" t="s">
        <v>7</v>
      </c>
      <c r="E20" s="14" t="s">
        <v>8</v>
      </c>
      <c r="F20" s="14" t="s">
        <v>64</v>
      </c>
    </row>
    <row r="21" spans="2:7">
      <c r="B21" s="37" t="s">
        <v>5</v>
      </c>
      <c r="C21" s="37">
        <v>546</v>
      </c>
      <c r="D21" s="50">
        <f>C21/($C$21+$C$22+$C$27+$C$26+$C$23+$C$24+$C$25)</f>
        <v>0.14410134600158353</v>
      </c>
      <c r="E21" s="51">
        <f>(C8+C18)*D21</f>
        <v>119322.54853542993</v>
      </c>
    </row>
    <row r="22" spans="2:7">
      <c r="B22" s="37" t="s">
        <v>65</v>
      </c>
      <c r="C22" s="37">
        <v>129</v>
      </c>
      <c r="D22" s="50">
        <f t="shared" ref="D22:D27" si="0">C22/($C$21+$C$22+$C$27+$C$26+$C$23+$C$24+$C$25)</f>
        <v>3.4045922406967535E-2</v>
      </c>
      <c r="E22" s="51">
        <f>(C8+C18)*D22</f>
        <v>28191.591137491683</v>
      </c>
    </row>
    <row r="23" spans="2:7">
      <c r="B23" s="37" t="s">
        <v>72</v>
      </c>
      <c r="C23" s="37">
        <v>656</v>
      </c>
      <c r="D23" s="50">
        <f t="shared" si="0"/>
        <v>0.17313275270519926</v>
      </c>
      <c r="E23" s="51">
        <f>(C8+C18)*D23</f>
        <v>143361.88981546159</v>
      </c>
    </row>
    <row r="24" spans="2:7">
      <c r="B24" s="37" t="s">
        <v>76</v>
      </c>
      <c r="C24" s="37">
        <v>438</v>
      </c>
      <c r="D24" s="50">
        <f t="shared" si="0"/>
        <v>0.11559778305621536</v>
      </c>
      <c r="E24" s="51">
        <f>(C8+C18)*D24</f>
        <v>95720.286187762467</v>
      </c>
    </row>
    <row r="25" spans="2:7">
      <c r="B25" s="37" t="s">
        <v>77</v>
      </c>
      <c r="C25" s="37">
        <v>171</v>
      </c>
      <c r="D25" s="50">
        <f t="shared" si="0"/>
        <v>4.5130641330166268E-2</v>
      </c>
      <c r="E25" s="51">
        <f>(C8+C18)*D25</f>
        <v>37370.248717140137</v>
      </c>
    </row>
    <row r="26" spans="2:7">
      <c r="B26" t="s">
        <v>71</v>
      </c>
      <c r="C26" s="37">
        <v>671</v>
      </c>
      <c r="D26" s="50">
        <f t="shared" si="0"/>
        <v>0.17709158089205596</v>
      </c>
      <c r="E26" s="51">
        <f>(C8+C18)*D26</f>
        <v>146639.9818081932</v>
      </c>
    </row>
    <row r="27" spans="2:7">
      <c r="B27" s="35" t="s">
        <v>14</v>
      </c>
      <c r="C27" s="35">
        <v>1178</v>
      </c>
      <c r="D27" s="52">
        <f t="shared" si="0"/>
        <v>0.31089997360781207</v>
      </c>
      <c r="E27" s="53">
        <f>(C8+C18)*D27</f>
        <v>257439.49116252098</v>
      </c>
      <c r="G27" s="54"/>
    </row>
    <row r="29" spans="2:7">
      <c r="B29" s="84" t="s">
        <v>45</v>
      </c>
      <c r="C29" s="84"/>
      <c r="D29" s="84"/>
      <c r="E29" s="84"/>
      <c r="G29" s="47"/>
    </row>
    <row r="30" spans="2:7">
      <c r="B30" s="83"/>
      <c r="C30" s="83"/>
      <c r="D30" s="83"/>
      <c r="E30" s="83"/>
    </row>
    <row r="31" spans="2:7">
      <c r="B31" s="83" t="s">
        <v>79</v>
      </c>
      <c r="C31" s="83"/>
      <c r="D31" s="83"/>
      <c r="E31" s="83"/>
    </row>
    <row r="32" spans="2:7">
      <c r="B32" s="83" t="s">
        <v>80</v>
      </c>
      <c r="C32" s="83"/>
      <c r="D32" s="83"/>
      <c r="E32" s="83"/>
    </row>
  </sheetData>
  <mergeCells count="4">
    <mergeCell ref="B29:E29"/>
    <mergeCell ref="B30:E30"/>
    <mergeCell ref="B31:E31"/>
    <mergeCell ref="B32:E32"/>
  </mergeCells>
  <pageMargins left="0.19685039370078741" right="0.19685039370078741" top="1.3779527559055118" bottom="0.19685039370078741" header="0.51181102362204722" footer="0.51181102362204722"/>
  <pageSetup paperSize="9" scale="7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G36"/>
  <sheetViews>
    <sheetView showGridLines="0" tabSelected="1" topLeftCell="C7" zoomScale="130" zoomScaleNormal="130" zoomScalePageLayoutView="150" workbookViewId="0">
      <selection activeCell="H7" sqref="H1:M1048576"/>
    </sheetView>
  </sheetViews>
  <sheetFormatPr defaultColWidth="11" defaultRowHeight="15.75" outlineLevelRow="1"/>
  <cols>
    <col min="1" max="1" width="3.625" customWidth="1"/>
    <col min="2" max="2" width="61.375" bestFit="1" customWidth="1"/>
    <col min="3" max="3" width="16.125" style="1" customWidth="1"/>
    <col min="4" max="4" width="13" style="6" bestFit="1" customWidth="1"/>
    <col min="5" max="5" width="16.875" style="8" customWidth="1"/>
    <col min="6" max="6" width="11.5" hidden="1" customWidth="1"/>
    <col min="7" max="7" width="15.5" bestFit="1" customWidth="1"/>
  </cols>
  <sheetData>
    <row r="2" spans="2:5" s="4" customFormat="1" ht="18.75">
      <c r="B2" s="9" t="s">
        <v>123</v>
      </c>
      <c r="C2" s="10"/>
      <c r="D2" s="5"/>
      <c r="E2" s="7"/>
    </row>
    <row r="3" spans="2:5" ht="18.75">
      <c r="B3" t="s">
        <v>124</v>
      </c>
      <c r="C3" s="41">
        <v>1100839.94</v>
      </c>
      <c r="E3" s="7"/>
    </row>
    <row r="4" spans="2:5" ht="18.75">
      <c r="B4" t="s">
        <v>125</v>
      </c>
      <c r="C4" s="1">
        <v>79830.61</v>
      </c>
      <c r="D4" s="1"/>
      <c r="E4" s="7"/>
    </row>
    <row r="5" spans="2:5" ht="18.75" hidden="1">
      <c r="B5" s="11" t="s">
        <v>9</v>
      </c>
      <c r="C5" s="12">
        <v>0</v>
      </c>
      <c r="E5" s="7"/>
    </row>
    <row r="6" spans="2:5" ht="18.75">
      <c r="B6" s="2" t="s">
        <v>3</v>
      </c>
      <c r="C6" s="80">
        <f>SUM(C3:C5)</f>
        <v>1180670.55</v>
      </c>
      <c r="E6" s="7"/>
    </row>
    <row r="7" spans="2:5">
      <c r="B7" s="2"/>
      <c r="C7" s="3"/>
    </row>
    <row r="8" spans="2:5" s="4" customFormat="1" ht="18.75">
      <c r="B8" s="9" t="str">
        <f>B2</f>
        <v>CUSTOS PARA RATEIO CORPORATIVO -JULHO 2026</v>
      </c>
      <c r="C8" s="10"/>
      <c r="D8" s="5"/>
      <c r="E8" s="7"/>
    </row>
    <row r="9" spans="2:5">
      <c r="B9" t="s">
        <v>63</v>
      </c>
      <c r="C9" s="29">
        <f>SUM(C10:C10)</f>
        <v>7514.2</v>
      </c>
    </row>
    <row r="10" spans="2:5" hidden="1" outlineLevel="1">
      <c r="B10" s="65" t="s">
        <v>91</v>
      </c>
      <c r="C10" s="66">
        <f>'Serv prestados '!E10</f>
        <v>7514.2</v>
      </c>
    </row>
    <row r="11" spans="2:5" collapsed="1">
      <c r="B11" t="s">
        <v>51</v>
      </c>
      <c r="C11" s="29">
        <f>SUM(C12:C12)</f>
        <v>1049.18</v>
      </c>
      <c r="D11" s="36"/>
    </row>
    <row r="12" spans="2:5" hidden="1" outlineLevel="1">
      <c r="B12" s="65" t="s">
        <v>92</v>
      </c>
      <c r="C12" s="66">
        <f>'Serv prestados '!E13+'Serv prestados '!E14+'Serv prestados '!E16+'Serv prestados '!E14</f>
        <v>1049.18</v>
      </c>
      <c r="D12" s="36"/>
    </row>
    <row r="13" spans="2:5" collapsed="1">
      <c r="B13" t="s">
        <v>11</v>
      </c>
      <c r="C13" s="29">
        <f>C14</f>
        <v>20140</v>
      </c>
    </row>
    <row r="14" spans="2:5" hidden="1" outlineLevel="1">
      <c r="B14" s="65" t="s">
        <v>93</v>
      </c>
      <c r="C14" s="66">
        <f>'Serv prestados '!E11</f>
        <v>20140</v>
      </c>
    </row>
    <row r="15" spans="2:5" collapsed="1">
      <c r="B15" t="s">
        <v>13</v>
      </c>
      <c r="C15" s="29">
        <f>SUM(C16)</f>
        <v>3144.47</v>
      </c>
    </row>
    <row r="16" spans="2:5" hidden="1" outlineLevel="1">
      <c r="B16" s="65" t="s">
        <v>94</v>
      </c>
      <c r="C16" s="66">
        <f>'Serv prestados '!E12</f>
        <v>3144.47</v>
      </c>
    </row>
    <row r="17" spans="2:7" collapsed="1">
      <c r="B17" s="37" t="s">
        <v>96</v>
      </c>
      <c r="C17" s="15">
        <f>'Serv prestados '!E7</f>
        <v>29338.739999999998</v>
      </c>
      <c r="E17" s="29"/>
    </row>
    <row r="18" spans="2:7" hidden="1" outlineLevel="1">
      <c r="B18" s="65" t="s">
        <v>95</v>
      </c>
      <c r="C18" s="66">
        <f>C17</f>
        <v>29338.739999999998</v>
      </c>
      <c r="E18" s="29"/>
    </row>
    <row r="19" spans="2:7" collapsed="1">
      <c r="B19" s="2" t="s">
        <v>3</v>
      </c>
      <c r="C19" s="80">
        <f>C9+C11+C13+C15+C17</f>
        <v>61186.59</v>
      </c>
    </row>
    <row r="20" spans="2:7">
      <c r="B20" s="2" t="s">
        <v>115</v>
      </c>
      <c r="C20" s="81">
        <f>C6+C19</f>
        <v>1241857.1400000001</v>
      </c>
    </row>
    <row r="21" spans="2:7" ht="37.5" customHeight="1">
      <c r="B21" s="85" t="s">
        <v>116</v>
      </c>
      <c r="C21" s="85"/>
      <c r="D21" s="13" t="s">
        <v>7</v>
      </c>
      <c r="E21" s="82" t="s">
        <v>8</v>
      </c>
      <c r="F21" s="14" t="s">
        <v>64</v>
      </c>
    </row>
    <row r="22" spans="2:7">
      <c r="B22" s="35" t="s">
        <v>5</v>
      </c>
      <c r="C22" s="35">
        <v>529</v>
      </c>
      <c r="D22" s="50">
        <f>C22/($C$22+$C$23+$C$26+$C$24+$C$25+$C$27+$C$29+$C$28)</f>
        <v>0.13192019950124689</v>
      </c>
      <c r="E22" s="55">
        <f>(C6+C19)*D22</f>
        <v>163826.0416608479</v>
      </c>
    </row>
    <row r="23" spans="2:7">
      <c r="B23" s="35" t="s">
        <v>65</v>
      </c>
      <c r="C23" s="35">
        <v>127</v>
      </c>
      <c r="D23" s="50">
        <f t="shared" ref="D23:D29" si="0">C23/($C$22+$C$23+$C$26+$C$24+$C$25+$C$27+$C$29+$C$28)</f>
        <v>3.1670822942643388E-2</v>
      </c>
      <c r="E23" s="55">
        <f>(C6+C19)*D23</f>
        <v>39330.637600997507</v>
      </c>
    </row>
    <row r="24" spans="2:7">
      <c r="B24" s="37" t="s">
        <v>72</v>
      </c>
      <c r="C24" s="37">
        <v>768</v>
      </c>
      <c r="D24" s="50">
        <f t="shared" si="0"/>
        <v>0.1915211970074813</v>
      </c>
      <c r="E24" s="51">
        <f>(C6+C19)*D24</f>
        <v>237841.96596508732</v>
      </c>
    </row>
    <row r="25" spans="2:7">
      <c r="B25" s="37" t="s">
        <v>77</v>
      </c>
      <c r="C25" s="37">
        <v>149</v>
      </c>
      <c r="D25" s="50">
        <f t="shared" si="0"/>
        <v>3.71571072319202E-2</v>
      </c>
      <c r="E25" s="51">
        <f>(C6+C19)*D25</f>
        <v>46143.818917705743</v>
      </c>
    </row>
    <row r="26" spans="2:7">
      <c r="B26" t="s">
        <v>71</v>
      </c>
      <c r="C26" s="37">
        <v>844</v>
      </c>
      <c r="D26" s="50">
        <f t="shared" si="0"/>
        <v>0.21047381546134664</v>
      </c>
      <c r="E26" s="51">
        <f>(C6+C19)*D26</f>
        <v>261378.41051371573</v>
      </c>
    </row>
    <row r="27" spans="2:7">
      <c r="B27" s="37" t="s">
        <v>82</v>
      </c>
      <c r="C27" s="37">
        <v>1095</v>
      </c>
      <c r="D27" s="50">
        <f t="shared" si="0"/>
        <v>0.27306733167082292</v>
      </c>
      <c r="E27" s="51">
        <f>(C6+C19)*D27</f>
        <v>339110.6155361596</v>
      </c>
    </row>
    <row r="28" spans="2:7">
      <c r="B28" s="37" t="s">
        <v>117</v>
      </c>
      <c r="C28" s="37">
        <v>386</v>
      </c>
      <c r="D28" s="50">
        <f t="shared" si="0"/>
        <v>9.6259351620947634E-2</v>
      </c>
      <c r="E28" s="51">
        <f>(C7+C20)*D28</f>
        <v>119540.3631022444</v>
      </c>
      <c r="G28" s="2"/>
    </row>
    <row r="29" spans="2:7">
      <c r="B29" s="37" t="s">
        <v>83</v>
      </c>
      <c r="C29" s="37">
        <v>112</v>
      </c>
      <c r="D29" s="50">
        <f t="shared" si="0"/>
        <v>2.7930174563591023E-2</v>
      </c>
      <c r="E29" s="51">
        <f>(C6+C19)*D29</f>
        <v>34685.286703241902</v>
      </c>
      <c r="G29" s="2"/>
    </row>
    <row r="30" spans="2:7">
      <c r="B30" s="37"/>
      <c r="C30" s="37"/>
      <c r="D30" s="31">
        <f>SUM(D22:D29)</f>
        <v>1.0000000000000002</v>
      </c>
      <c r="E30" s="79">
        <f>SUM(E22:E29)</f>
        <v>1241857.1400000004</v>
      </c>
      <c r="G30" s="2"/>
    </row>
    <row r="31" spans="2:7">
      <c r="B31" s="84" t="s">
        <v>45</v>
      </c>
      <c r="C31" s="84"/>
      <c r="D31" s="84"/>
      <c r="E31" s="84"/>
      <c r="G31" s="47"/>
    </row>
    <row r="32" spans="2:7">
      <c r="B32" s="83"/>
      <c r="C32" s="83"/>
      <c r="D32" s="83"/>
      <c r="E32" s="83"/>
    </row>
    <row r="33" spans="2:5">
      <c r="B33" s="83" t="s">
        <v>79</v>
      </c>
      <c r="C33" s="83"/>
      <c r="D33" s="83"/>
      <c r="E33" s="83"/>
    </row>
    <row r="34" spans="2:5">
      <c r="B34" s="83" t="s">
        <v>104</v>
      </c>
      <c r="C34" s="83"/>
      <c r="D34" s="83"/>
      <c r="E34" s="83"/>
    </row>
    <row r="35" spans="2:5">
      <c r="B35" s="2" t="s">
        <v>121</v>
      </c>
    </row>
    <row r="36" spans="2:5">
      <c r="B36" t="s">
        <v>122</v>
      </c>
    </row>
  </sheetData>
  <mergeCells count="5">
    <mergeCell ref="B31:E31"/>
    <mergeCell ref="B32:E32"/>
    <mergeCell ref="B33:E33"/>
    <mergeCell ref="B34:E34"/>
    <mergeCell ref="B21:C21"/>
  </mergeCells>
  <pageMargins left="0.19685039370078741" right="0.19685039370078741" top="0.59055118110236227" bottom="0.19685039370078741" header="0.51181102362204722" footer="0.51181102362204722"/>
  <pageSetup paperSize="9" scale="83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G24"/>
  <sheetViews>
    <sheetView topLeftCell="A13" workbookViewId="0">
      <selection activeCell="F17" sqref="F17"/>
    </sheetView>
  </sheetViews>
  <sheetFormatPr defaultRowHeight="15.75"/>
  <cols>
    <col min="1" max="1" width="57.875" bestFit="1" customWidth="1"/>
    <col min="2" max="2" width="11.125" customWidth="1"/>
    <col min="3" max="3" width="44" bestFit="1" customWidth="1"/>
    <col min="4" max="4" width="18.625" bestFit="1" customWidth="1"/>
    <col min="5" max="5" width="12.625" bestFit="1" customWidth="1"/>
    <col min="6" max="6" width="12.25" bestFit="1" customWidth="1"/>
  </cols>
  <sheetData>
    <row r="2" spans="1:7" ht="16.5">
      <c r="A2" s="56" t="s">
        <v>84</v>
      </c>
      <c r="B2" s="56" t="s">
        <v>85</v>
      </c>
      <c r="C2" s="56" t="s">
        <v>86</v>
      </c>
      <c r="D2" s="56" t="s">
        <v>87</v>
      </c>
      <c r="E2" s="57" t="s">
        <v>88</v>
      </c>
      <c r="F2" s="57" t="s">
        <v>89</v>
      </c>
    </row>
    <row r="3" spans="1:7">
      <c r="A3" s="77" t="s">
        <v>108</v>
      </c>
      <c r="B3" s="63">
        <v>996</v>
      </c>
      <c r="C3" s="77" t="s">
        <v>109</v>
      </c>
      <c r="D3" s="58" t="s">
        <v>98</v>
      </c>
      <c r="E3" s="76">
        <v>2811.84</v>
      </c>
      <c r="F3" s="60">
        <v>46204</v>
      </c>
      <c r="G3" s="60"/>
    </row>
    <row r="4" spans="1:7">
      <c r="A4" s="59" t="s">
        <v>110</v>
      </c>
      <c r="B4" s="78">
        <v>5551</v>
      </c>
      <c r="C4" s="58" t="s">
        <v>111</v>
      </c>
      <c r="D4" s="58" t="s">
        <v>90</v>
      </c>
      <c r="E4" s="68">
        <v>3668.56</v>
      </c>
      <c r="F4" s="60">
        <v>46206</v>
      </c>
      <c r="G4" s="60"/>
    </row>
    <row r="5" spans="1:7">
      <c r="A5" s="58" t="s">
        <v>97</v>
      </c>
      <c r="B5" s="62">
        <v>13503</v>
      </c>
      <c r="C5" s="58" t="s">
        <v>107</v>
      </c>
      <c r="D5" s="58" t="s">
        <v>90</v>
      </c>
      <c r="E5" s="68">
        <v>22858.34</v>
      </c>
      <c r="F5" s="60">
        <v>46211</v>
      </c>
      <c r="G5" s="60"/>
    </row>
    <row r="6" spans="1:7">
      <c r="A6" s="59"/>
      <c r="B6" s="61"/>
      <c r="C6" s="59"/>
      <c r="D6" s="59"/>
      <c r="E6" s="68"/>
      <c r="F6" s="60"/>
      <c r="G6" s="60"/>
    </row>
    <row r="7" spans="1:7" ht="16.5">
      <c r="A7" s="86" t="s">
        <v>103</v>
      </c>
      <c r="B7" s="86"/>
      <c r="C7" s="86"/>
      <c r="D7" s="86"/>
      <c r="E7" s="70">
        <f>SUM(E3:E6)</f>
        <v>29338.739999999998</v>
      </c>
      <c r="F7" s="69"/>
    </row>
    <row r="9" spans="1:7" ht="16.5">
      <c r="A9" s="56" t="s">
        <v>84</v>
      </c>
      <c r="B9" s="56" t="s">
        <v>85</v>
      </c>
      <c r="C9" s="56" t="s">
        <v>86</v>
      </c>
      <c r="D9" s="56" t="s">
        <v>87</v>
      </c>
      <c r="E9" s="57" t="s">
        <v>88</v>
      </c>
      <c r="F9" s="57" t="s">
        <v>89</v>
      </c>
    </row>
    <row r="10" spans="1:7">
      <c r="A10" s="58" t="s">
        <v>119</v>
      </c>
      <c r="B10" s="63">
        <v>7</v>
      </c>
      <c r="C10" s="59" t="s">
        <v>118</v>
      </c>
      <c r="D10" s="58" t="s">
        <v>90</v>
      </c>
      <c r="E10" s="68">
        <v>7514.2</v>
      </c>
      <c r="F10" s="60">
        <v>46204</v>
      </c>
      <c r="G10" s="60"/>
    </row>
    <row r="11" spans="1:7">
      <c r="A11" s="58" t="s">
        <v>114</v>
      </c>
      <c r="B11" s="67">
        <v>3010</v>
      </c>
      <c r="C11" s="59" t="s">
        <v>105</v>
      </c>
      <c r="D11" s="58" t="s">
        <v>90</v>
      </c>
      <c r="E11" s="68">
        <v>20140</v>
      </c>
      <c r="F11" s="60">
        <v>46204</v>
      </c>
      <c r="G11" s="60"/>
    </row>
    <row r="12" spans="1:7">
      <c r="A12" s="58" t="s">
        <v>101</v>
      </c>
      <c r="B12" s="67">
        <v>62026</v>
      </c>
      <c r="C12" s="59" t="s">
        <v>102</v>
      </c>
      <c r="D12" s="58" t="s">
        <v>90</v>
      </c>
      <c r="E12" s="76">
        <v>3144.47</v>
      </c>
      <c r="F12" s="60">
        <v>46210</v>
      </c>
      <c r="G12" s="60"/>
    </row>
    <row r="13" spans="1:7">
      <c r="A13" s="58" t="s">
        <v>99</v>
      </c>
      <c r="B13" s="63">
        <v>405</v>
      </c>
      <c r="C13" s="58" t="s">
        <v>100</v>
      </c>
      <c r="D13" s="59" t="s">
        <v>90</v>
      </c>
      <c r="E13" s="68">
        <v>380.78</v>
      </c>
      <c r="F13" s="60">
        <v>46219</v>
      </c>
      <c r="G13" s="60"/>
    </row>
    <row r="14" spans="1:7">
      <c r="A14" s="58" t="s">
        <v>99</v>
      </c>
      <c r="B14" s="63">
        <v>406</v>
      </c>
      <c r="C14" s="58" t="s">
        <v>100</v>
      </c>
      <c r="D14" s="58" t="s">
        <v>90</v>
      </c>
      <c r="E14" s="68">
        <v>267.2</v>
      </c>
      <c r="F14" s="60">
        <v>46219</v>
      </c>
      <c r="G14" s="60"/>
    </row>
    <row r="15" spans="1:7">
      <c r="A15" s="58" t="s">
        <v>99</v>
      </c>
      <c r="B15" s="63">
        <v>407</v>
      </c>
      <c r="C15" s="58" t="s">
        <v>100</v>
      </c>
      <c r="D15" s="58" t="s">
        <v>90</v>
      </c>
      <c r="E15" s="68">
        <v>235.29</v>
      </c>
      <c r="F15" s="60">
        <v>46219</v>
      </c>
      <c r="G15" s="60"/>
    </row>
    <row r="16" spans="1:7">
      <c r="A16" s="59" t="s">
        <v>99</v>
      </c>
      <c r="B16" s="61" t="s">
        <v>120</v>
      </c>
      <c r="C16" s="58" t="s">
        <v>100</v>
      </c>
      <c r="D16" s="58" t="s">
        <v>90</v>
      </c>
      <c r="E16" s="68">
        <v>134</v>
      </c>
      <c r="F16" s="60">
        <v>46219</v>
      </c>
      <c r="G16" s="60"/>
    </row>
    <row r="17" spans="1:6" ht="16.5">
      <c r="A17" s="86" t="s">
        <v>103</v>
      </c>
      <c r="B17" s="86"/>
      <c r="C17" s="86"/>
      <c r="D17" s="86"/>
      <c r="E17" s="70">
        <f>SUM(E10:E16)</f>
        <v>31815.940000000002</v>
      </c>
      <c r="F17" s="69"/>
    </row>
    <row r="19" spans="1:6">
      <c r="A19" s="83" t="s">
        <v>45</v>
      </c>
      <c r="B19" s="83"/>
      <c r="C19" s="83"/>
      <c r="D19" s="83"/>
      <c r="E19" s="83"/>
      <c r="F19" s="83"/>
    </row>
    <row r="21" spans="1:6">
      <c r="A21" s="83" t="s">
        <v>79</v>
      </c>
      <c r="B21" s="83"/>
      <c r="C21" s="83"/>
      <c r="D21" s="83"/>
      <c r="E21" s="83"/>
      <c r="F21" s="83"/>
    </row>
    <row r="22" spans="1:6">
      <c r="A22" s="87" t="s">
        <v>104</v>
      </c>
      <c r="B22" s="87"/>
      <c r="C22" s="87"/>
      <c r="D22" s="87"/>
      <c r="E22" s="87"/>
      <c r="F22" s="87"/>
    </row>
    <row r="23" spans="1:6">
      <c r="A23" s="2" t="s">
        <v>121</v>
      </c>
    </row>
    <row r="24" spans="1:6">
      <c r="A24" t="s">
        <v>122</v>
      </c>
    </row>
  </sheetData>
  <mergeCells count="5">
    <mergeCell ref="A7:D7"/>
    <mergeCell ref="A19:F19"/>
    <mergeCell ref="A21:F21"/>
    <mergeCell ref="A22:F22"/>
    <mergeCell ref="A17:D17"/>
  </mergeCells>
  <pageMargins left="0.511811024" right="0.511811024" top="0.78740157499999996" bottom="0.78740157499999996" header="0.31496062000000002" footer="0.31496062000000002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G32"/>
  <sheetViews>
    <sheetView showGridLines="0" topLeftCell="A15" zoomScale="130" zoomScaleNormal="130" zoomScalePageLayoutView="150" workbookViewId="0">
      <selection activeCell="B4" sqref="B4"/>
    </sheetView>
  </sheetViews>
  <sheetFormatPr defaultColWidth="11" defaultRowHeight="15.75" outlineLevelRow="1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  <col min="7" max="7" width="15.5" bestFit="1" customWidth="1"/>
  </cols>
  <sheetData>
    <row r="2" spans="2:5" s="4" customFormat="1" ht="18.75">
      <c r="B2" s="9" t="s">
        <v>113</v>
      </c>
      <c r="C2" s="10"/>
      <c r="D2" s="5"/>
      <c r="E2" s="7"/>
    </row>
    <row r="3" spans="2:5" ht="18.75">
      <c r="B3" t="s">
        <v>2</v>
      </c>
      <c r="C3" s="71">
        <v>883803.7</v>
      </c>
      <c r="E3" s="7"/>
    </row>
    <row r="4" spans="2:5" ht="18.75">
      <c r="B4" t="s">
        <v>112</v>
      </c>
      <c r="C4" s="1">
        <f>C3*37.05%</f>
        <v>327449.27084999997</v>
      </c>
      <c r="E4" s="7"/>
    </row>
    <row r="5" spans="2:5" ht="18.75" hidden="1">
      <c r="B5" s="11" t="s">
        <v>9</v>
      </c>
      <c r="C5" s="12">
        <v>0</v>
      </c>
      <c r="E5" s="7"/>
    </row>
    <row r="6" spans="2:5" ht="18.75">
      <c r="B6" s="2" t="s">
        <v>3</v>
      </c>
      <c r="C6" s="3">
        <f>SUM(C3:C5)</f>
        <v>1211252.9708499999</v>
      </c>
      <c r="E6" s="7"/>
    </row>
    <row r="7" spans="2:5">
      <c r="B7" s="2"/>
      <c r="C7" s="3"/>
    </row>
    <row r="8" spans="2:5" s="4" customFormat="1" ht="18.75">
      <c r="B8" s="9" t="s">
        <v>113</v>
      </c>
      <c r="C8" s="10"/>
      <c r="D8" s="5"/>
      <c r="E8" s="7"/>
    </row>
    <row r="9" spans="2:5">
      <c r="B9" t="s">
        <v>63</v>
      </c>
      <c r="C9" s="29">
        <f>SUM(C10:C10)</f>
        <v>7514.2</v>
      </c>
    </row>
    <row r="10" spans="2:5" outlineLevel="1">
      <c r="B10" s="65" t="s">
        <v>91</v>
      </c>
      <c r="C10" s="66">
        <f>'Serv prestados '!E10</f>
        <v>7514.2</v>
      </c>
    </row>
    <row r="11" spans="2:5">
      <c r="B11" t="s">
        <v>51</v>
      </c>
      <c r="C11" s="29" t="e">
        <f>SUM(C12:C12)</f>
        <v>#REF!</v>
      </c>
      <c r="D11" s="36"/>
    </row>
    <row r="12" spans="2:5" outlineLevel="1">
      <c r="B12" s="65" t="s">
        <v>92</v>
      </c>
      <c r="C12" s="66" t="e">
        <f>'Serv prestados '!E13+'Serv prestados '!E14+'Serv prestados '!E16+'Serv prestados '!#REF!</f>
        <v>#REF!</v>
      </c>
      <c r="D12" s="36"/>
    </row>
    <row r="13" spans="2:5">
      <c r="B13" t="s">
        <v>11</v>
      </c>
      <c r="C13" s="29">
        <f>C14</f>
        <v>20140</v>
      </c>
    </row>
    <row r="14" spans="2:5" outlineLevel="1">
      <c r="B14" s="65" t="s">
        <v>93</v>
      </c>
      <c r="C14" s="66">
        <f>'Serv prestados '!E11</f>
        <v>20140</v>
      </c>
    </row>
    <row r="15" spans="2:5">
      <c r="B15" t="s">
        <v>13</v>
      </c>
      <c r="C15" s="29">
        <f>SUM(C16)</f>
        <v>3144.47</v>
      </c>
    </row>
    <row r="16" spans="2:5" outlineLevel="1">
      <c r="B16" s="65" t="s">
        <v>94</v>
      </c>
      <c r="C16" s="66">
        <f>'Serv prestados '!E12</f>
        <v>3144.47</v>
      </c>
    </row>
    <row r="17" spans="2:7">
      <c r="B17" s="37" t="s">
        <v>96</v>
      </c>
      <c r="C17" s="64">
        <f>'Serv prestados '!E7</f>
        <v>29338.739999999998</v>
      </c>
      <c r="E17" s="29"/>
    </row>
    <row r="18" spans="2:7" outlineLevel="1">
      <c r="B18" s="65" t="s">
        <v>95</v>
      </c>
      <c r="C18" s="66">
        <f>C17</f>
        <v>29338.739999999998</v>
      </c>
      <c r="E18" s="29"/>
    </row>
    <row r="19" spans="2:7">
      <c r="B19" s="2" t="s">
        <v>3</v>
      </c>
      <c r="C19" s="3" t="e">
        <f>C9+C11+C13+C15+C17</f>
        <v>#REF!</v>
      </c>
    </row>
    <row r="20" spans="2:7">
      <c r="B20" s="2" t="s">
        <v>43</v>
      </c>
      <c r="C20" s="1" t="e">
        <f>C6+C19</f>
        <v>#REF!</v>
      </c>
    </row>
    <row r="21" spans="2:7" ht="18.75">
      <c r="B21" s="75" t="s">
        <v>106</v>
      </c>
      <c r="C21" s="12"/>
      <c r="D21" s="13" t="s">
        <v>7</v>
      </c>
      <c r="E21" s="14" t="s">
        <v>8</v>
      </c>
      <c r="F21" s="14" t="s">
        <v>64</v>
      </c>
    </row>
    <row r="22" spans="2:7">
      <c r="B22" s="35" t="s">
        <v>5</v>
      </c>
      <c r="C22" s="72">
        <v>9215643</v>
      </c>
      <c r="D22" s="50">
        <f>C22/($C$22+$C$23+$C$26+$C$24+$C$25+$C$27+$C$28)</f>
        <v>0.18837364190087569</v>
      </c>
      <c r="E22" s="55" t="e">
        <f>(C6+C19)*D22</f>
        <v>#REF!</v>
      </c>
      <c r="G22" s="74" t="e">
        <f>E22-'Rateio_RH - 2026 1'!E22</f>
        <v>#REF!</v>
      </c>
    </row>
    <row r="23" spans="2:7">
      <c r="B23" s="35" t="s">
        <v>65</v>
      </c>
      <c r="C23" s="72">
        <v>1879376</v>
      </c>
      <c r="D23" s="50">
        <f t="shared" ref="D23:D28" si="0">C23/($C$22+$C$23+$C$26+$C$24+$C$25+$C$27+$C$28)</f>
        <v>3.8415648438323853E-2</v>
      </c>
      <c r="E23" s="55" t="e">
        <f>(C6+C19)*D23</f>
        <v>#REF!</v>
      </c>
      <c r="G23" s="74" t="e">
        <f>E23-'Rateio_RH - 2026 1'!E23</f>
        <v>#REF!</v>
      </c>
    </row>
    <row r="24" spans="2:7">
      <c r="B24" s="37" t="s">
        <v>72</v>
      </c>
      <c r="C24" s="73">
        <v>10120512</v>
      </c>
      <c r="D24" s="50">
        <f t="shared" si="0"/>
        <v>0.20686974347221515</v>
      </c>
      <c r="E24" s="51" t="e">
        <f>(C6+C19)*D24</f>
        <v>#REF!</v>
      </c>
      <c r="G24" s="74" t="e">
        <f>E24-'Rateio_RH - 2026 1'!E24</f>
        <v>#REF!</v>
      </c>
    </row>
    <row r="25" spans="2:7">
      <c r="B25" s="37" t="s">
        <v>77</v>
      </c>
      <c r="C25" s="73">
        <v>1499472</v>
      </c>
      <c r="D25" s="50">
        <f t="shared" si="0"/>
        <v>3.0650167499803309E-2</v>
      </c>
      <c r="E25" s="51" t="e">
        <f>(C6+C19)*D25</f>
        <v>#REF!</v>
      </c>
      <c r="G25" s="74" t="e">
        <f>E25-'Rateio_RH - 2026 1'!E25</f>
        <v>#REF!</v>
      </c>
    </row>
    <row r="26" spans="2:7">
      <c r="B26" t="s">
        <v>71</v>
      </c>
      <c r="C26" s="73">
        <v>10187410</v>
      </c>
      <c r="D26" s="50">
        <f t="shared" si="0"/>
        <v>0.20823718141397188</v>
      </c>
      <c r="E26" s="51" t="e">
        <f>(C6+C19)*D26</f>
        <v>#REF!</v>
      </c>
      <c r="G26" s="74" t="e">
        <f>E26-'Rateio_RH - 2026 1'!E26</f>
        <v>#REF!</v>
      </c>
    </row>
    <row r="27" spans="2:7">
      <c r="B27" s="37" t="s">
        <v>82</v>
      </c>
      <c r="C27" s="73">
        <v>14600648</v>
      </c>
      <c r="D27" s="50">
        <f t="shared" si="0"/>
        <v>0.29844659107050231</v>
      </c>
      <c r="E27" s="51" t="e">
        <f>(C6+C19)*D27</f>
        <v>#REF!</v>
      </c>
      <c r="G27" s="74" t="e">
        <f>E27-'Rateio_RH - 2026 1'!E27</f>
        <v>#REF!</v>
      </c>
    </row>
    <row r="28" spans="2:7">
      <c r="B28" s="37" t="s">
        <v>83</v>
      </c>
      <c r="C28" s="73">
        <v>1419086</v>
      </c>
      <c r="D28" s="50">
        <f t="shared" si="0"/>
        <v>2.9007026204307836E-2</v>
      </c>
      <c r="E28" s="51" t="e">
        <f>(C6+C19)*D28</f>
        <v>#REF!</v>
      </c>
      <c r="G28" s="74" t="e">
        <f>E28-'Rateio_RH - 2026 1'!E29</f>
        <v>#REF!</v>
      </c>
    </row>
    <row r="29" spans="2:7">
      <c r="B29" s="84" t="s">
        <v>45</v>
      </c>
      <c r="C29" s="84"/>
      <c r="D29" s="84"/>
      <c r="E29" s="84"/>
      <c r="G29" s="47"/>
    </row>
    <row r="30" spans="2:7">
      <c r="B30" s="83"/>
      <c r="C30" s="83"/>
      <c r="D30" s="83"/>
      <c r="E30" s="83"/>
    </row>
    <row r="31" spans="2:7">
      <c r="B31" s="83" t="s">
        <v>79</v>
      </c>
      <c r="C31" s="83"/>
      <c r="D31" s="83"/>
      <c r="E31" s="83"/>
    </row>
    <row r="32" spans="2:7">
      <c r="B32" s="83" t="s">
        <v>104</v>
      </c>
      <c r="C32" s="83"/>
      <c r="D32" s="83"/>
      <c r="E32" s="83"/>
    </row>
  </sheetData>
  <mergeCells count="4">
    <mergeCell ref="B29:E29"/>
    <mergeCell ref="B30:E30"/>
    <mergeCell ref="B31:E31"/>
    <mergeCell ref="B32:E32"/>
  </mergeCells>
  <pageMargins left="0.19685039370078741" right="0.19685039370078741" top="0.59055118110236227" bottom="0.19685039370078741" header="0.51181102362204722" footer="0.51181102362204722"/>
  <pageSetup paperSize="9" scale="86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topLeftCell="A7" zoomScaleNormal="100" workbookViewId="0">
      <selection activeCell="B27" sqref="B27"/>
    </sheetView>
  </sheetViews>
  <sheetFormatPr defaultRowHeight="15.75"/>
  <cols>
    <col min="1" max="1" width="40.25" customWidth="1"/>
    <col min="2" max="2" width="10.625" customWidth="1"/>
    <col min="3" max="3" width="0" hidden="1" customWidth="1"/>
    <col min="4" max="4" width="26.375" hidden="1" customWidth="1"/>
    <col min="5" max="5" width="22.5" hidden="1" customWidth="1"/>
    <col min="6" max="6" width="12.25" hidden="1" customWidth="1"/>
    <col min="7" max="7" width="23.375" hidden="1" customWidth="1"/>
  </cols>
  <sheetData>
    <row r="1" spans="1:7">
      <c r="A1" s="84" t="s">
        <v>41</v>
      </c>
      <c r="B1" s="84"/>
    </row>
    <row r="2" spans="1:7">
      <c r="A2" s="23"/>
      <c r="B2" s="23"/>
    </row>
    <row r="3" spans="1:7">
      <c r="A3" s="20" t="s">
        <v>19</v>
      </c>
      <c r="B3" s="19" t="s">
        <v>40</v>
      </c>
      <c r="D3" s="20" t="s">
        <v>53</v>
      </c>
      <c r="E3" s="20" t="s">
        <v>57</v>
      </c>
      <c r="F3" s="39" t="s">
        <v>58</v>
      </c>
      <c r="G3" s="39" t="s">
        <v>59</v>
      </c>
    </row>
    <row r="4" spans="1:7">
      <c r="A4" s="24" t="s">
        <v>23</v>
      </c>
      <c r="B4" s="25">
        <f>SUM(B5:B9)</f>
        <v>0.08</v>
      </c>
      <c r="C4" s="17"/>
      <c r="D4" s="24" t="s">
        <v>54</v>
      </c>
      <c r="E4" s="24"/>
      <c r="F4" s="25"/>
      <c r="G4" s="25"/>
    </row>
    <row r="5" spans="1:7">
      <c r="A5" s="18" t="s">
        <v>18</v>
      </c>
      <c r="B5" s="21">
        <v>0</v>
      </c>
      <c r="D5" s="18" t="s">
        <v>55</v>
      </c>
      <c r="E5" s="18" t="s">
        <v>60</v>
      </c>
      <c r="F5" s="40">
        <v>11647</v>
      </c>
      <c r="G5" s="21" t="s">
        <v>61</v>
      </c>
    </row>
    <row r="6" spans="1:7">
      <c r="A6" s="18" t="s">
        <v>1</v>
      </c>
      <c r="B6" s="21">
        <v>0</v>
      </c>
      <c r="D6" s="18" t="s">
        <v>55</v>
      </c>
      <c r="E6" s="18"/>
      <c r="F6" s="40">
        <v>122</v>
      </c>
      <c r="G6" s="21" t="s">
        <v>62</v>
      </c>
    </row>
    <row r="7" spans="1:7">
      <c r="A7" s="18" t="s">
        <v>20</v>
      </c>
      <c r="B7" s="21">
        <v>0</v>
      </c>
      <c r="D7" s="18" t="s">
        <v>55</v>
      </c>
      <c r="E7" s="18"/>
      <c r="F7" s="40">
        <v>27</v>
      </c>
      <c r="G7" s="21" t="s">
        <v>62</v>
      </c>
    </row>
    <row r="8" spans="1:7">
      <c r="A8" s="18" t="s">
        <v>21</v>
      </c>
      <c r="B8" s="21">
        <v>0</v>
      </c>
      <c r="D8" s="18"/>
      <c r="E8" s="18"/>
      <c r="F8" s="40"/>
      <c r="G8" s="21"/>
    </row>
    <row r="9" spans="1:7">
      <c r="A9" s="18" t="s">
        <v>0</v>
      </c>
      <c r="B9" s="21">
        <v>0.08</v>
      </c>
      <c r="D9" s="20" t="s">
        <v>56</v>
      </c>
      <c r="E9" s="18"/>
      <c r="F9" s="42">
        <f>SUM(F5:F8)</f>
        <v>11796</v>
      </c>
      <c r="G9" s="21"/>
    </row>
    <row r="10" spans="1:7">
      <c r="A10" s="26" t="s">
        <v>22</v>
      </c>
      <c r="B10" s="27">
        <f>SUM(B11:B19)</f>
        <v>0.21209999999999998</v>
      </c>
      <c r="F10" s="41"/>
    </row>
    <row r="11" spans="1:7">
      <c r="A11" s="18" t="s">
        <v>42</v>
      </c>
      <c r="B11" s="21">
        <v>2.7799999999999998E-2</v>
      </c>
    </row>
    <row r="12" spans="1:7">
      <c r="A12" s="18" t="s">
        <v>24</v>
      </c>
      <c r="B12" s="21">
        <v>4.0000000000000002E-4</v>
      </c>
    </row>
    <row r="13" spans="1:7">
      <c r="A13" s="18" t="s">
        <v>25</v>
      </c>
      <c r="B13" s="21">
        <v>1E-4</v>
      </c>
    </row>
    <row r="14" spans="1:7">
      <c r="A14" s="18" t="s">
        <v>26</v>
      </c>
      <c r="B14" s="21">
        <v>2.0000000000000001E-4</v>
      </c>
    </row>
    <row r="15" spans="1:7">
      <c r="A15" s="18" t="s">
        <v>27</v>
      </c>
      <c r="B15" s="21">
        <v>8.3299999999999999E-2</v>
      </c>
    </row>
    <row r="16" spans="1:7">
      <c r="A16" s="18" t="s">
        <v>28</v>
      </c>
      <c r="B16" s="21">
        <v>8.3299999999999999E-2</v>
      </c>
    </row>
    <row r="17" spans="1:2">
      <c r="A17" s="18" t="s">
        <v>29</v>
      </c>
      <c r="B17" s="21">
        <v>1.3899999999999999E-2</v>
      </c>
    </row>
    <row r="18" spans="1:2">
      <c r="A18" s="18" t="s">
        <v>30</v>
      </c>
      <c r="B18" s="21">
        <v>2.8E-3</v>
      </c>
    </row>
    <row r="19" spans="1:2">
      <c r="A19" s="18" t="s">
        <v>31</v>
      </c>
      <c r="B19" s="21">
        <v>2.9999999999999997E-4</v>
      </c>
    </row>
    <row r="20" spans="1:2">
      <c r="A20" s="26" t="s">
        <v>32</v>
      </c>
      <c r="B20" s="27">
        <f>SUM(B21:B24)</f>
        <v>6.1399999999999996E-2</v>
      </c>
    </row>
    <row r="21" spans="1:2">
      <c r="A21" s="18" t="s">
        <v>33</v>
      </c>
      <c r="B21" s="21">
        <v>1.4999999999999999E-2</v>
      </c>
    </row>
    <row r="22" spans="1:2">
      <c r="A22" s="18" t="s">
        <v>34</v>
      </c>
      <c r="B22" s="21">
        <v>1.1000000000000001E-3</v>
      </c>
    </row>
    <row r="23" spans="1:2">
      <c r="A23" s="18" t="s">
        <v>35</v>
      </c>
      <c r="B23" s="21">
        <v>4.2000000000000003E-2</v>
      </c>
    </row>
    <row r="24" spans="1:2">
      <c r="A24" s="18" t="s">
        <v>36</v>
      </c>
      <c r="B24" s="21">
        <v>3.3E-3</v>
      </c>
    </row>
    <row r="25" spans="1:2">
      <c r="A25" s="20" t="s">
        <v>37</v>
      </c>
      <c r="B25" s="22">
        <f>B4*B10</f>
        <v>1.6968E-2</v>
      </c>
    </row>
    <row r="26" spans="1:2">
      <c r="A26" s="20" t="s">
        <v>38</v>
      </c>
      <c r="B26" s="21"/>
    </row>
    <row r="27" spans="1:2">
      <c r="A27" s="26" t="s">
        <v>39</v>
      </c>
      <c r="B27" s="27">
        <f>B4+B10+B20+B25</f>
        <v>0.37046799999999996</v>
      </c>
    </row>
    <row r="30" spans="1:2">
      <c r="A30" s="28" t="s">
        <v>45</v>
      </c>
    </row>
    <row r="32" spans="1:2">
      <c r="A32" s="28" t="s">
        <v>79</v>
      </c>
    </row>
    <row r="33" spans="1:1">
      <c r="A33" s="28" t="s">
        <v>104</v>
      </c>
    </row>
    <row r="35" spans="1:1">
      <c r="A35" s="2" t="s">
        <v>121</v>
      </c>
    </row>
    <row r="36" spans="1:1">
      <c r="A36" t="s">
        <v>122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G30"/>
  <sheetViews>
    <sheetView showGridLines="0" zoomScale="150" zoomScaleNormal="150" zoomScalePageLayoutView="150" workbookViewId="0">
      <selection activeCell="C4" sqref="C4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</cols>
  <sheetData>
    <row r="2" spans="2:5" s="4" customFormat="1" ht="18.75">
      <c r="B2" s="9" t="s">
        <v>70</v>
      </c>
      <c r="C2" s="10"/>
      <c r="D2" s="5"/>
      <c r="E2" s="7"/>
    </row>
    <row r="3" spans="2:5" ht="18.75">
      <c r="B3" t="s">
        <v>2</v>
      </c>
      <c r="C3" s="43">
        <f>215404.74</f>
        <v>215404.74</v>
      </c>
      <c r="E3" s="7"/>
    </row>
    <row r="4" spans="2:5" ht="18.75">
      <c r="B4" t="s">
        <v>68</v>
      </c>
      <c r="C4" s="43">
        <f>17342.61*20%+17342.61</f>
        <v>20811.132000000001</v>
      </c>
      <c r="E4" s="7"/>
    </row>
    <row r="5" spans="2:5" ht="18.75">
      <c r="B5" t="s">
        <v>15</v>
      </c>
      <c r="C5" s="33">
        <v>465.08</v>
      </c>
      <c r="D5" s="36"/>
      <c r="E5" s="7"/>
    </row>
    <row r="6" spans="2:5" ht="18.75">
      <c r="B6" t="s">
        <v>16</v>
      </c>
      <c r="C6" s="33">
        <v>10770</v>
      </c>
      <c r="D6" s="36"/>
      <c r="E6" s="7"/>
    </row>
    <row r="7" spans="2:5" ht="18.75">
      <c r="B7" t="s">
        <v>44</v>
      </c>
      <c r="C7" s="1">
        <f>C3*71.96%</f>
        <v>155005.25090399999</v>
      </c>
      <c r="E7" s="7"/>
    </row>
    <row r="8" spans="2:5" ht="18.75" hidden="1">
      <c r="B8" s="11" t="s">
        <v>9</v>
      </c>
      <c r="C8" s="12">
        <v>0</v>
      </c>
      <c r="E8" s="7"/>
    </row>
    <row r="9" spans="2:5" ht="18.75">
      <c r="B9" s="2" t="s">
        <v>3</v>
      </c>
      <c r="C9" s="3">
        <f>SUM(C3:C8)</f>
        <v>402456.20290399995</v>
      </c>
      <c r="E9" s="7"/>
    </row>
    <row r="10" spans="2:5">
      <c r="B10" s="2"/>
      <c r="C10" s="3"/>
    </row>
    <row r="11" spans="2:5" s="4" customFormat="1" ht="18.75">
      <c r="B11" s="9" t="s">
        <v>70</v>
      </c>
      <c r="C11" s="10"/>
      <c r="D11" s="5"/>
      <c r="E11" s="7"/>
    </row>
    <row r="12" spans="2:5">
      <c r="B12" t="s">
        <v>63</v>
      </c>
      <c r="C12" s="29">
        <f>3125.34+7393.48+877.44</f>
        <v>11396.26</v>
      </c>
    </row>
    <row r="13" spans="2:5">
      <c r="B13" t="s">
        <v>51</v>
      </c>
      <c r="C13" s="29">
        <f>49.5+21.84+585.05+456.94</f>
        <v>1113.33</v>
      </c>
      <c r="D13" s="36"/>
    </row>
    <row r="14" spans="2:5">
      <c r="B14" t="s">
        <v>11</v>
      </c>
      <c r="C14" s="29">
        <v>9748.15</v>
      </c>
    </row>
    <row r="15" spans="2:5">
      <c r="B15" t="s">
        <v>13</v>
      </c>
      <c r="C15" s="29">
        <v>459.21</v>
      </c>
    </row>
    <row r="16" spans="2:5">
      <c r="B16" s="37" t="s">
        <v>50</v>
      </c>
      <c r="C16" s="29">
        <v>0</v>
      </c>
    </row>
    <row r="17" spans="2:7">
      <c r="B17" s="37" t="s">
        <v>52</v>
      </c>
      <c r="C17" s="29">
        <f>710.2+9705.27+724.5+517.5</f>
        <v>11657.470000000001</v>
      </c>
    </row>
    <row r="18" spans="2:7">
      <c r="B18" s="38" t="s">
        <v>12</v>
      </c>
      <c r="C18" s="29">
        <f>890+1055+1652.43</f>
        <v>3597.4300000000003</v>
      </c>
    </row>
    <row r="19" spans="2:7">
      <c r="B19" s="2" t="s">
        <v>3</v>
      </c>
      <c r="C19" s="3">
        <f>SUM(C12:C18)</f>
        <v>37971.85</v>
      </c>
    </row>
    <row r="20" spans="2:7">
      <c r="B20" s="2" t="s">
        <v>43</v>
      </c>
      <c r="C20" s="1">
        <f>C9+C19</f>
        <v>440428.05290399992</v>
      </c>
    </row>
    <row r="21" spans="2:7" ht="18.75">
      <c r="B21" s="9" t="s">
        <v>4</v>
      </c>
      <c r="C21" s="12"/>
      <c r="D21" s="13" t="s">
        <v>7</v>
      </c>
      <c r="E21" s="14" t="s">
        <v>8</v>
      </c>
      <c r="F21" s="14" t="s">
        <v>64</v>
      </c>
    </row>
    <row r="22" spans="2:7">
      <c r="B22" t="s">
        <v>5</v>
      </c>
      <c r="C22" s="37">
        <v>444</v>
      </c>
      <c r="D22" s="44">
        <f>C22/($C$22+$C$23+$C$24)</f>
        <v>0.25635103926096997</v>
      </c>
      <c r="E22" s="45">
        <f>(C9+C19)*D22</f>
        <v>112904.18908162584</v>
      </c>
    </row>
    <row r="23" spans="2:7">
      <c r="B23" t="s">
        <v>65</v>
      </c>
      <c r="C23" s="37">
        <v>115</v>
      </c>
      <c r="D23" s="44">
        <f>C23/($C$22+$C$23+$C$24)</f>
        <v>6.6397228637413389E-2</v>
      </c>
      <c r="E23" s="45">
        <f>(C10+C20)*D23</f>
        <v>29243.202126997683</v>
      </c>
    </row>
    <row r="24" spans="2:7">
      <c r="B24" s="30" t="s">
        <v>14</v>
      </c>
      <c r="C24" s="35">
        <v>1173</v>
      </c>
      <c r="D24" s="46">
        <f>C24/($C$22+$C$23+$C$24)</f>
        <v>0.6772517321016166</v>
      </c>
      <c r="E24" s="32">
        <f>(C9+C19)*D24</f>
        <v>298280.66169537639</v>
      </c>
      <c r="G24" t="s">
        <v>69</v>
      </c>
    </row>
    <row r="25" spans="2:7">
      <c r="C25" s="33"/>
      <c r="G25" s="48"/>
    </row>
    <row r="27" spans="2:7">
      <c r="B27" s="84" t="s">
        <v>45</v>
      </c>
      <c r="C27" s="84"/>
      <c r="D27" s="84"/>
      <c r="E27" s="84"/>
      <c r="G27" s="47"/>
    </row>
    <row r="28" spans="2:7">
      <c r="B28" s="83"/>
      <c r="C28" s="83"/>
      <c r="D28" s="83"/>
      <c r="E28" s="83"/>
    </row>
    <row r="29" spans="2:7">
      <c r="B29" s="83" t="s">
        <v>67</v>
      </c>
      <c r="C29" s="83"/>
      <c r="D29" s="83"/>
      <c r="E29" s="83"/>
    </row>
    <row r="30" spans="2:7">
      <c r="B30" s="83" t="s">
        <v>66</v>
      </c>
      <c r="C30" s="83"/>
      <c r="D30" s="83"/>
      <c r="E30" s="83"/>
    </row>
  </sheetData>
  <mergeCells count="4">
    <mergeCell ref="B27:E27"/>
    <mergeCell ref="B28:E28"/>
    <mergeCell ref="B29:E29"/>
    <mergeCell ref="B30:E30"/>
  </mergeCells>
  <hyperlinks>
    <hyperlink ref="B11" r:id="rId1" display="https://webmail-seguro.com.br/isgsaude.org/?_task=mail&amp;_mbox=INBOX" xr:uid="{00000000-0004-0000-0700-000000000000}"/>
  </hyperlinks>
  <pageMargins left="0.19685039370078741" right="0.19685039370078741" top="1.3779527559055118" bottom="0.19685039370078741" header="0.51181102362204722" footer="0.51181102362204722"/>
  <pageSetup paperSize="9" scale="71"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4:D12"/>
  <sheetViews>
    <sheetView workbookViewId="0">
      <selection activeCell="B29" sqref="B29"/>
    </sheetView>
  </sheetViews>
  <sheetFormatPr defaultRowHeight="15.75"/>
  <cols>
    <col min="4" max="4" width="11.625" bestFit="1" customWidth="1"/>
  </cols>
  <sheetData>
    <row r="4" spans="2:4">
      <c r="B4" s="34">
        <v>428</v>
      </c>
      <c r="C4" s="16">
        <v>0.19805645534474781</v>
      </c>
      <c r="D4" s="8">
        <v>26468.667960566407</v>
      </c>
    </row>
    <row r="5" spans="2:4">
      <c r="B5" s="35">
        <v>544</v>
      </c>
      <c r="C5" s="31">
        <v>0.25173530772790376</v>
      </c>
      <c r="D5" s="32">
        <v>33642.419090065712</v>
      </c>
    </row>
    <row r="6" spans="2:4">
      <c r="B6" s="35">
        <v>1189</v>
      </c>
      <c r="C6" s="31">
        <v>0.55020823692734844</v>
      </c>
      <c r="D6" s="32">
        <v>73530.949077367884</v>
      </c>
    </row>
    <row r="10" spans="2:4">
      <c r="D10">
        <v>26468.67</v>
      </c>
    </row>
    <row r="11" spans="2:4">
      <c r="D11">
        <v>33642.42</v>
      </c>
    </row>
    <row r="12" spans="2:4">
      <c r="D12">
        <v>73530.95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4</vt:i4>
      </vt:variant>
    </vt:vector>
  </HeadingPairs>
  <TitlesOfParts>
    <vt:vector size="14" baseType="lpstr">
      <vt:lpstr>Rateio_RH</vt:lpstr>
      <vt:lpstr>Rateio_RH - 2018</vt:lpstr>
      <vt:lpstr>Rateio_RH - 2020 sem</vt:lpstr>
      <vt:lpstr>Rateio_RH - 2026 1</vt:lpstr>
      <vt:lpstr>Serv prestados </vt:lpstr>
      <vt:lpstr>Rateio_RH - 2024</vt:lpstr>
      <vt:lpstr>Estrutura</vt:lpstr>
      <vt:lpstr>Rateio_RH RPA</vt:lpstr>
      <vt:lpstr>Plan1</vt:lpstr>
      <vt:lpstr>Rateio_RH (2)</vt:lpstr>
      <vt:lpstr>Estrutura!Area_de_impressao</vt:lpstr>
      <vt:lpstr>'Rateio_RH - 2024'!Area_de_impressao</vt:lpstr>
      <vt:lpstr>'Rateio_RH - 2026 1'!Area_de_impressao</vt:lpstr>
      <vt:lpstr>'Serv prestados '!Area_de_impressao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Marcelo Alves</dc:creator>
  <cp:lastModifiedBy>Suedna Silva Alves</cp:lastModifiedBy>
  <cp:lastPrinted>2026-08-10T19:49:20Z</cp:lastPrinted>
  <dcterms:created xsi:type="dcterms:W3CDTF">2013-11-27T14:40:30Z</dcterms:created>
  <dcterms:modified xsi:type="dcterms:W3CDTF">2026-08-20T14:06:08Z</dcterms:modified>
</cp:coreProperties>
</file>